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456" windowWidth="6240" windowHeight="8676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'PRODUCCIÓN DE HC'!$A$2:$M$83</definedName>
  </definedNames>
  <calcPr fullCalcOnLoad="1" iterate="1" iterateCount="2" iterateDelta="0.00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<sst xmlns="http://schemas.openxmlformats.org/spreadsheetml/2006/main" count="82" uniqueCount="71">
  <si>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</si>
  <si>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</si>
  <si>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</si>
  <si>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</si>
  <si>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</si>
  <si>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</si>
  <si>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</si>
  <si>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</si>
  <si>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</si>
  <si>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</si>
  <si>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</si>
  <si>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</si>
  <si>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</si>
  <si>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</si>
  <si>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</si>
  <si>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</si>
  <si>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</si>
  <si>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</si>
  <si>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</si>
  <si>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</si>
  <si>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</si>
  <si>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</si>
  <si>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</si>
  <si>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</si>
  <si>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</si>
  <si>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</si>
  <si>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</si>
  <si>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</si>
  <si>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</si>
  <si>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</si>
  <si>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</si>
  <si>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</si>
  <si>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</si>
  <si>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</si>
  <si>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</si>
  <si>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</si>
  <si>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</si>
  <si>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</si>
  <si>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</si>
  <si>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</si>
  <si>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</si>
  <si>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</si>
  <si>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</si>
  <si>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</si>
  <si>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</si>
  <si>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</si>
  <si>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</si>
  <si>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</si>
  <si>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</si>
  <si>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</si>
  <si>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</si>
  <si>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</si>
  <si>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</si>
  <si>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</si>
  <si>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</si>
  <si>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</si>
  <si>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</si>
  <si>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</si>
  <si>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</si>
  <si>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</si>
  <si>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</si>
  <si>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</si>
  <si>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</si>
  <si>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</si>
  <si>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</si>
  <si>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</si>
  <si>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</si>
  <si>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</si>
  <si>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31 DE MARZO DE 2018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</si>
  <si>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marzo 2018 fue de 142,289, superior en 40,591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</si>
  <si>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marzo 2018 fue de 1,163.4 MMPCD, superior en 314.01 MMPCD comparado al mes anterior.</t>
    </r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</si>
</sst>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6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7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7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6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9" fontId="0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6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66" fontId="0" fillId="37" borderId="0" xfId="0" applyNumberFormat="1" applyFill="1" applyAlignment="1">
      <alignment/>
    </xf>
    <xf numFmtId="3" fontId="0" fillId="37" borderId="10" xfId="47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3" fontId="0" fillId="37" borderId="0" xfId="0" applyNumberFormat="1" applyFont="1" applyFill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6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3" fontId="0" fillId="37" borderId="0" xfId="0" applyNumberFormat="1" applyFill="1" applyAlignment="1">
      <alignment vertical="center"/>
    </xf>
    <xf numFmtId="168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1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1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1" fillId="17" borderId="10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1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10" xfId="0" applyNumberFormat="1" applyFill="1" applyBorder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16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9" fillId="37" borderId="0" xfId="0" applyFont="1" applyFill="1" applyAlignment="1">
      <alignment/>
    </xf>
    <xf numFmtId="1" fontId="16" fillId="37" borderId="0" xfId="0" applyNumberFormat="1" applyFont="1" applyFill="1" applyAlignment="1">
      <alignment/>
    </xf>
    <xf numFmtId="0" fontId="20" fillId="37" borderId="0" xfId="0" applyFont="1" applyFill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/>
    </xf>
    <xf numFmtId="0" fontId="22" fillId="37" borderId="0" xfId="0" applyFont="1" applyFill="1" applyAlignment="1">
      <alignment/>
    </xf>
    <xf numFmtId="0" fontId="16" fillId="37" borderId="0" xfId="0" applyFont="1" applyFill="1" applyBorder="1" applyAlignment="1">
      <alignment/>
    </xf>
    <xf numFmtId="3" fontId="16" fillId="37" borderId="0" xfId="0" applyNumberFormat="1" applyFont="1" applyFill="1" applyAlignment="1">
      <alignment/>
    </xf>
    <xf numFmtId="3" fontId="22" fillId="37" borderId="0" xfId="0" applyNumberFormat="1" applyFont="1" applyFill="1" applyAlignment="1">
      <alignment/>
    </xf>
    <xf numFmtId="167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0" xfId="0" applyNumberFormat="1" applyFill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3" fontId="0" fillId="13" borderId="10" xfId="0" applyNumberFormat="1" applyFill="1" applyBorder="1" applyAlignment="1">
      <alignment horizontal="center"/>
    </xf>
    <xf numFmtId="169" fontId="0" fillId="13" borderId="10" xfId="46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37" borderId="0" xfId="0" applyFont="1" applyFill="1" applyAlignment="1">
      <alignment horizontal="center" vertical="center" wrapText="1"/>
    </xf>
    <xf numFmtId="0" fontId="62" fillId="41" borderId="0" xfId="0" applyFont="1" applyFill="1" applyBorder="1" applyAlignment="1">
      <alignment horizontal="left" wrapText="1"/>
    </xf>
    <xf numFmtId="0" fontId="16" fillId="41" borderId="0" xfId="0" applyFont="1" applyFill="1" applyBorder="1" applyAlignment="1">
      <alignment horizontal="justify" vertical="center" wrapText="1"/>
    </xf>
    <xf numFmtId="49" fontId="63" fillId="37" borderId="0" xfId="0" applyNumberFormat="1" applyFont="1" applyFill="1" applyBorder="1" applyAlignment="1">
      <alignment horizontal="left" vertical="top" wrapText="1"/>
    </xf>
    <xf numFmtId="49" fontId="63" fillId="37" borderId="0" xfId="0" applyNumberFormat="1" applyFont="1" applyFill="1" applyBorder="1" applyAlignment="1">
      <alignment horizontal="left" vertical="top"/>
    </xf>
    <xf numFmtId="0" fontId="16" fillId="41" borderId="0" xfId="0" applyFont="1" applyFill="1" applyBorder="1" applyAlignment="1">
      <alignment horizontal="left" wrapText="1"/>
    </xf>
    <xf numFmtId="0" fontId="21" fillId="41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smooth val="0"/>
        </c:ser>
        <c:axId val="38159333"/>
        <c:axId val="7889678"/>
      </c:scatterChart>
      <c:valAx>
        <c:axId val="38159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89678"/>
        <c:crosses val="autoZero"/>
        <c:crossBetween val="midCat"/>
        <c:dispUnits/>
      </c:valAx>
      <c:valAx>
        <c:axId val="788967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smooth val="0"/>
        </c:ser>
        <c:axId val="3898239"/>
        <c:axId val="35084152"/>
      </c:scatterChart>
      <c:valAx>
        <c:axId val="3898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84152"/>
        <c:crosses val="autoZero"/>
        <c:crossBetween val="midCat"/>
        <c:dispUnits/>
      </c:valAx>
      <c:valAx>
        <c:axId val="35084152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38100</xdr:rowOff>
    </xdr:from>
    <xdr:to>
      <xdr:col>12</xdr:col>
      <xdr:colOff>219075</xdr:colOff>
      <xdr:row>30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00125"/>
          <a:ext cx="702945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34</xdr:row>
      <xdr:rowOff>19050</xdr:rowOff>
    </xdr:from>
    <xdr:to>
      <xdr:col>12</xdr:col>
      <xdr:colOff>66675</xdr:colOff>
      <xdr:row>76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829425"/>
          <a:ext cx="68770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0"/>
  <sheetViews>
    <sheetView zoomScalePageLayoutView="0" workbookViewId="0" topLeftCell="AH1">
      <pane ySplit="7" topLeftCell="A282" activePane="bottomLeft" state="frozen"/>
      <selection pane="topLeft" activeCell="AI291" sqref="AI291"/>
      <selection pane="bottomLeft" activeCell="AK298" sqref="AK298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3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4.140625" style="135" bestFit="1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3:36" ht="12.75">
      <c r="C8" s="184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ht="12.75">
      <c r="A9" s="149"/>
      <c r="B9" s="149"/>
      <c r="C9" s="184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138">
        <v>127305</v>
      </c>
    </row>
    <row r="10" spans="1:36" ht="12.75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138">
        <v>127305</v>
      </c>
    </row>
    <row r="11" spans="1:36" ht="12.75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ht="12.75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138">
        <v>127305</v>
      </c>
    </row>
    <row r="13" spans="1:36" ht="12.75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ht="12.75">
      <c r="A14" s="149">
        <v>0.0027397260273972603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ht="12.75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ht="12.75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ht="12.75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ht="12.75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ht="12.75">
      <c r="A19" s="149"/>
      <c r="B19" s="149"/>
      <c r="C19" s="184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ht="12.75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ht="12.75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ht="12.75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ht="12.75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ht="12.75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ht="12.75">
      <c r="A25" s="149"/>
      <c r="B25" s="149"/>
      <c r="C25" s="184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138">
        <v>121700</v>
      </c>
    </row>
    <row r="26" spans="1:36" ht="12.75">
      <c r="A26" s="149"/>
      <c r="B26" s="149"/>
      <c r="C26" s="184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ht="12.75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ht="12.75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ht="12.75">
      <c r="A29" s="149"/>
      <c r="B29" s="149"/>
      <c r="C29" s="184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ht="12.75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ht="12.75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ht="12.75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ht="12.75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ht="12.75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ht="12.75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ht="12.75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ht="12.75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ht="12.75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ht="12.75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ht="12.75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ht="12.75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ht="12.75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ht="12.75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ht="12.75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ht="12.75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ht="12.75">
      <c r="A46" s="149"/>
      <c r="B46" s="149"/>
      <c r="C46" s="184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ht="12.75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ht="12.75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ht="12.75">
      <c r="A49" s="149"/>
      <c r="B49" s="149"/>
      <c r="C49" s="184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ht="12.75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ht="12.75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ht="12.75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ht="12.75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ht="12.75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ht="12.75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ht="12.75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ht="12.75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ht="12.75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ht="12.75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ht="12.75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ht="12.75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aca="true" t="shared" si="4" ref="AJ61:AJ67">+AJ60</f>
        <v>115593</v>
      </c>
    </row>
    <row r="62" spans="1:36" ht="12.75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ht="12.75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ht="12.75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6" ht="12.75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6" ht="12.75">
      <c r="A66" s="149"/>
      <c r="B66" s="149"/>
      <c r="C66" s="184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6" ht="12.75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6" ht="12.75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6" ht="12.75">
      <c r="A69" s="149"/>
      <c r="B69" s="149"/>
      <c r="C69" s="184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aca="true" t="shared" si="5" ref="AJ69:AJ78">+AJ68</f>
        <v>105927</v>
      </c>
    </row>
    <row r="70" spans="1:36" ht="12.75">
      <c r="A70" s="149"/>
      <c r="B70" s="149"/>
      <c r="C70" s="184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6" ht="12.75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ht="12.75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6" ht="12.75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6" ht="12.75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6" ht="12.75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6" ht="12.75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6" ht="12.75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6" ht="12.75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6" ht="12.75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6" ht="12.75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36" ht="12.75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aca="true" t="shared" si="6" ref="AJ81:AJ86">+AJ80</f>
        <v>99217</v>
      </c>
    </row>
    <row r="82" spans="1:36" ht="12.75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36" ht="12.75">
      <c r="A83" s="149"/>
      <c r="B83" s="149"/>
      <c r="C83" s="184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36" ht="12.75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39" ht="12.75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53">
        <v>3869</v>
      </c>
      <c r="K85" s="253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39" ht="12.75">
      <c r="A86" s="149"/>
      <c r="B86" s="149"/>
      <c r="C86" s="184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53">
        <v>4034</v>
      </c>
      <c r="K86" s="253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36" ht="12.75">
      <c r="A87" s="149"/>
      <c r="B87" s="149"/>
      <c r="C87" s="184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53">
        <v>4285</v>
      </c>
      <c r="K87" s="253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ht="12.75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53">
        <v>4266</v>
      </c>
      <c r="K88" s="253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36" ht="12.75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53">
        <v>4352</v>
      </c>
      <c r="K89" s="253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36" ht="12.75">
      <c r="A90" s="149"/>
      <c r="B90" s="149"/>
      <c r="C90" s="184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62">
        <v>4271.266666666666</v>
      </c>
      <c r="K90" s="262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36" ht="12.75">
      <c r="A91" s="149"/>
      <c r="B91" s="149"/>
      <c r="C91" s="184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53">
        <v>4265.225806451613</v>
      </c>
      <c r="K91" s="253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138">
        <v>99217</v>
      </c>
    </row>
    <row r="92" spans="1:36" ht="12.75">
      <c r="A92" s="149"/>
      <c r="B92" s="149"/>
      <c r="C92" s="184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53">
        <v>4113.322580645161</v>
      </c>
      <c r="K92" s="253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138">
        <v>97097</v>
      </c>
    </row>
    <row r="93" spans="1:36" ht="12.75">
      <c r="A93" s="149"/>
      <c r="B93" s="149"/>
      <c r="C93" s="184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53">
        <v>4045.214285714286</v>
      </c>
      <c r="K93" s="253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aca="true" t="shared" si="8" ref="AJ93:AJ98">+AJ92</f>
        <v>97097</v>
      </c>
    </row>
    <row r="94" spans="1:39" ht="12.75">
      <c r="A94" s="149"/>
      <c r="B94" s="149"/>
      <c r="C94" s="184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53">
        <v>3904.064516129032</v>
      </c>
      <c r="K94" s="253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138">
        <f t="shared" si="8"/>
        <v>97097</v>
      </c>
      <c r="AM94" s="134"/>
    </row>
    <row r="95" spans="1:39" ht="12.75">
      <c r="A95" s="149"/>
      <c r="B95" s="149"/>
      <c r="C95" s="184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53">
        <v>4358.2</v>
      </c>
      <c r="K95" s="253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39" ht="12.75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53">
        <v>4537.387096774193</v>
      </c>
      <c r="K96" s="253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ht="12.75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53">
        <v>4451</v>
      </c>
      <c r="K97" s="253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ht="12.75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53">
        <v>4561</v>
      </c>
      <c r="K98" s="253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53">
        <v>4385</v>
      </c>
      <c r="K99" s="253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ht="12.75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53">
        <v>4487</v>
      </c>
      <c r="K100" s="253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ht="12.75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53">
        <v>4265</v>
      </c>
      <c r="K101" s="253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ht="12.75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53">
        <v>4133</v>
      </c>
      <c r="K102" s="253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138">
        <f>+AJ101</f>
        <v>97097</v>
      </c>
      <c r="AM102" s="134"/>
    </row>
    <row r="103" spans="1:39" ht="12.75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53">
        <v>3945</v>
      </c>
      <c r="K103" s="253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ht="12.75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53">
        <v>3743</v>
      </c>
      <c r="K104" s="253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ht="12.75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53">
        <v>3792</v>
      </c>
      <c r="K105" s="253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ht="12.75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53">
        <v>3462</v>
      </c>
      <c r="K106" s="253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aca="true" t="shared" si="10" ref="AJ106:AJ114">+AJ105</f>
        <v>96865</v>
      </c>
      <c r="AM106" s="134"/>
    </row>
    <row r="107" spans="1:39" ht="12.75">
      <c r="A107" s="149"/>
      <c r="B107" s="149"/>
      <c r="C107" s="184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53">
        <v>3441</v>
      </c>
      <c r="K107" s="253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ht="12.75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53">
        <v>3531</v>
      </c>
      <c r="K108" s="253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ht="12.75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53">
        <v>3546</v>
      </c>
      <c r="K109" s="253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138">
        <f t="shared" si="10"/>
        <v>96865</v>
      </c>
      <c r="AM109" s="134"/>
    </row>
    <row r="110" spans="1:39" ht="12.75">
      <c r="A110" s="149"/>
      <c r="B110" s="149"/>
      <c r="C110" s="184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53">
        <v>3405</v>
      </c>
      <c r="K110" s="253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ht="12.75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53">
        <v>3341</v>
      </c>
      <c r="K111" s="253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ht="12.75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53">
        <v>3357</v>
      </c>
      <c r="K112" s="253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ht="12.75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53">
        <v>3346</v>
      </c>
      <c r="K113" s="253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ht="12.75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53">
        <v>3341</v>
      </c>
      <c r="K114" s="253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ht="12.75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53">
        <v>3291</v>
      </c>
      <c r="K115" s="253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ht="12.75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53">
        <v>3103</v>
      </c>
      <c r="K116" s="253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ht="12.75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53">
        <v>3002</v>
      </c>
      <c r="K117" s="253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aca="true" t="shared" si="12" ref="AJ117:AJ127">+AJ116</f>
        <v>91350</v>
      </c>
      <c r="AM117" s="134"/>
    </row>
    <row r="118" spans="1:36" ht="12.75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53">
        <v>2920</v>
      </c>
      <c r="K118" s="253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138">
        <f t="shared" si="12"/>
        <v>91350</v>
      </c>
    </row>
    <row r="119" spans="1:36" ht="12.75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53">
        <v>3023</v>
      </c>
      <c r="K119" s="253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6" ht="12.75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53">
        <v>3080</v>
      </c>
      <c r="K120" s="253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6" ht="12.75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53">
        <v>3168</v>
      </c>
      <c r="K121" s="253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6" ht="12.75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53">
        <v>3369</v>
      </c>
      <c r="K122" s="253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6" ht="12.75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53">
        <v>3462</v>
      </c>
      <c r="K123" s="253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6" ht="12.75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53">
        <v>3406</v>
      </c>
      <c r="K124" s="253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6" ht="12.75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53">
        <v>3500</v>
      </c>
      <c r="K125" s="253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6" ht="12.75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53">
        <v>3472</v>
      </c>
      <c r="K126" s="253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6" ht="12.75">
      <c r="A127" s="149"/>
      <c r="B127" s="149"/>
      <c r="C127" s="184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53">
        <v>4015</v>
      </c>
      <c r="K127" s="253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6" ht="12.75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53">
        <v>3622</v>
      </c>
      <c r="K128" s="253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6" ht="12.75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53">
        <v>3604</v>
      </c>
      <c r="K129" s="253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6" ht="12.75">
      <c r="C130" s="184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53">
        <v>3645</v>
      </c>
      <c r="K130" s="253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6" ht="12.75">
      <c r="C131" s="184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53">
        <v>3604.5</v>
      </c>
      <c r="K131" s="253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6" ht="12.75">
      <c r="C132" s="184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53">
        <v>3630</v>
      </c>
      <c r="K132" s="253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6" ht="12.75">
      <c r="C133" s="184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53">
        <v>3661.0666666666666</v>
      </c>
      <c r="K133" s="253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6" ht="12.75">
      <c r="C134" s="184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53">
        <v>3662.032258064516</v>
      </c>
      <c r="K134" s="253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138">
        <v>94120</v>
      </c>
    </row>
    <row r="135" spans="3:36" ht="12.75">
      <c r="C135" s="184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53">
        <v>3615.6451612903224</v>
      </c>
      <c r="K135" s="253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138">
        <v>94120</v>
      </c>
    </row>
    <row r="136" spans="3:36" ht="12.75">
      <c r="C136" s="184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53">
        <v>3657.0333333333333</v>
      </c>
      <c r="K136" s="253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6" ht="12.75">
      <c r="C137" s="184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53">
        <v>3615.483870967742</v>
      </c>
      <c r="K137" s="253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6" ht="12.75">
      <c r="C138" s="184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53">
        <v>3553.5666666666666</v>
      </c>
      <c r="K138" s="253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ht="12.75">
      <c r="C139" s="184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53">
        <v>3515</v>
      </c>
      <c r="K139" s="253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ht="12.75">
      <c r="C140" s="184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53">
        <v>3414</v>
      </c>
      <c r="K140" s="253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6" ht="12.75">
      <c r="C141" s="184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53">
        <v>3357</v>
      </c>
      <c r="K141" s="253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6" ht="12.75">
      <c r="C142" s="184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53">
        <v>3434.3225806451615</v>
      </c>
      <c r="K142" s="253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6" ht="12.75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53">
        <v>3363</v>
      </c>
      <c r="K143" s="253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6" ht="12.75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53">
        <v>3416</v>
      </c>
      <c r="K144" s="253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138">
        <v>111295</v>
      </c>
    </row>
    <row r="145" spans="3:36" ht="12.75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53">
        <v>3386</v>
      </c>
      <c r="K145" s="253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ht="12.75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53">
        <v>3353</v>
      </c>
      <c r="K146" s="253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4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53">
        <v>3355</v>
      </c>
      <c r="K147" s="253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36" ht="12.75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53">
        <v>3402</v>
      </c>
      <c r="K148" s="253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36" ht="12.75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53">
        <v>3320</v>
      </c>
      <c r="K149" s="253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36" ht="12.75">
      <c r="C150" s="184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53">
        <v>3087</v>
      </c>
      <c r="K150" s="261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36" ht="12.75">
      <c r="C151" s="184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53">
        <v>3053</v>
      </c>
      <c r="K151" s="261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138">
        <v>111295</v>
      </c>
    </row>
    <row r="152" spans="3:36" ht="12.75">
      <c r="C152" s="184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53">
        <v>3163.19</v>
      </c>
      <c r="K152" s="253"/>
      <c r="L152" s="148">
        <v>283.548</v>
      </c>
      <c r="M152" s="148">
        <v>12448.70915</v>
      </c>
      <c r="N152" s="156"/>
      <c r="O152" s="148">
        <v>1.419</v>
      </c>
      <c r="P152" s="156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138">
        <v>115581</v>
      </c>
    </row>
    <row r="153" spans="3:36" ht="12.75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1">
        <v>3199</v>
      </c>
      <c r="K153" s="261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36" ht="12.75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1">
        <v>3167</v>
      </c>
      <c r="K154" s="261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aca="true" t="shared" si="17" ref="AJ154:AJ162">+AJ153</f>
        <v>115581</v>
      </c>
    </row>
    <row r="155" spans="3:36" ht="12.75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1">
        <v>3182</v>
      </c>
      <c r="K155" s="261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36" ht="12.75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53">
        <v>3146</v>
      </c>
      <c r="K156" s="253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36" ht="12.75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53">
        <v>3103</v>
      </c>
      <c r="K157" s="253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36" ht="12.75">
      <c r="C158" s="184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53">
        <v>3059.6451612903224</v>
      </c>
      <c r="K158" s="253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36" ht="12.75">
      <c r="C159" s="184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60">
        <f>93766/31</f>
        <v>3024.7096774193546</v>
      </c>
      <c r="K159" s="260"/>
      <c r="L159" s="148">
        <v>289.5806451612903</v>
      </c>
      <c r="M159" s="148">
        <f>403648/31</f>
        <v>13020.90322580645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39" ht="12.75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1">
        <v>2984</v>
      </c>
      <c r="K160" s="261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ht="12.75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53">
        <v>3008</v>
      </c>
      <c r="K161" s="253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ht="12.75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1">
        <v>2909</v>
      </c>
      <c r="K162" s="261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ht="12.75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53">
        <v>2685</v>
      </c>
      <c r="K163" s="253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ht="12.75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1">
        <v>2853</v>
      </c>
      <c r="K164" s="261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ht="12.75">
      <c r="C165" s="184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53">
        <f>80304/28</f>
        <v>2868</v>
      </c>
      <c r="K165" s="253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ht="12.75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53">
        <v>2812</v>
      </c>
      <c r="K166" s="253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138">
        <f>+AJ165</f>
        <v>113869</v>
      </c>
    </row>
    <row r="167" spans="3:36" ht="12.75">
      <c r="C167" s="184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60">
        <f>90267/30</f>
        <v>3008.9</v>
      </c>
      <c r="K167" s="260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ht="12.75">
      <c r="C168" s="184">
        <f t="shared" si="16"/>
        <v>2007.416661300008</v>
      </c>
      <c r="D168" s="152">
        <v>39203</v>
      </c>
      <c r="E168" s="157">
        <f>27814/31</f>
        <v>897.2258064516129</v>
      </c>
      <c r="F168" s="157">
        <f>16066/31</f>
        <v>518.258064516129</v>
      </c>
      <c r="G168" s="148">
        <f>33149/31</f>
        <v>1069.3225806451612</v>
      </c>
      <c r="H168" s="156">
        <f>44764/31</f>
        <v>1444</v>
      </c>
      <c r="I168" s="157">
        <f>6754/31</f>
        <v>217.8709677419355</v>
      </c>
      <c r="J168" s="260">
        <f>91935/31</f>
        <v>2965.6451612903224</v>
      </c>
      <c r="K168" s="260"/>
      <c r="L168" s="157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ht="12.75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</v>
      </c>
      <c r="G169" s="148">
        <f>27660/30</f>
        <v>922</v>
      </c>
      <c r="H169" s="157">
        <f>43522/30</f>
        <v>1450.7333333333333</v>
      </c>
      <c r="I169" s="157">
        <v>169.7</v>
      </c>
      <c r="J169" s="260">
        <f>87309/30</f>
        <v>2910.3</v>
      </c>
      <c r="K169" s="260"/>
      <c r="L169" s="157">
        <v>272.1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70.83333333333333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aca="true" t="shared" si="18" ref="AJ169:AJ175">+AJ168</f>
        <v>113869</v>
      </c>
    </row>
    <row r="170" spans="3:36" ht="12.75">
      <c r="C170" s="184">
        <f t="shared" si="16"/>
        <v>2007.583327900008</v>
      </c>
      <c r="D170" s="152">
        <v>39264</v>
      </c>
      <c r="E170" s="157">
        <f>27640/31</f>
        <v>891.6129032258065</v>
      </c>
      <c r="F170" s="157">
        <v>560</v>
      </c>
      <c r="G170" s="157">
        <v>908.2258064516129</v>
      </c>
      <c r="H170" s="157">
        <f>44203/31</f>
        <v>1425.9032258064517</v>
      </c>
      <c r="I170" s="157">
        <v>143.58064516129033</v>
      </c>
      <c r="J170" s="260">
        <f>90019/31</f>
        <v>2903.8387096774195</v>
      </c>
      <c r="K170" s="260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</v>
      </c>
      <c r="S170" s="157">
        <f>346162/31</f>
        <v>11166.516129032258</v>
      </c>
      <c r="T170" s="157"/>
      <c r="U170" s="157">
        <f>535440/31</f>
        <v>17272.25806451613</v>
      </c>
      <c r="V170" s="157"/>
      <c r="W170" s="157">
        <f>837386/31</f>
        <v>27012.451612903227</v>
      </c>
      <c r="X170" s="157">
        <f>1133924/31</f>
        <v>36578.1935483871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ht="12.75">
      <c r="C171" s="184">
        <f t="shared" si="16"/>
        <v>2007.666661200008</v>
      </c>
      <c r="D171" s="152">
        <v>39295</v>
      </c>
      <c r="E171" s="157">
        <f>24742/31</f>
        <v>798.1290322580645</v>
      </c>
      <c r="F171" s="157">
        <v>590.2903225806451</v>
      </c>
      <c r="G171" s="157">
        <v>947.3548387096774</v>
      </c>
      <c r="H171" s="157">
        <f>57029/31</f>
        <v>1839.6451612903227</v>
      </c>
      <c r="I171" s="157">
        <v>137.2258064516129</v>
      </c>
      <c r="J171" s="260">
        <f>89184/31</f>
        <v>2876.9032258064517</v>
      </c>
      <c r="K171" s="260"/>
      <c r="L171" s="157">
        <v>268.3225806451613</v>
      </c>
      <c r="M171" s="157">
        <f>411277/31</f>
        <v>13267</v>
      </c>
      <c r="N171" s="157"/>
      <c r="O171" s="157">
        <v>0.7741935483870968</v>
      </c>
      <c r="P171" s="157"/>
      <c r="Q171" s="157">
        <v>18.774193548387096</v>
      </c>
      <c r="R171" s="157">
        <v>54.29032258064516</v>
      </c>
      <c r="S171" s="157">
        <f>301436/31</f>
        <v>9723.741935483871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</v>
      </c>
      <c r="Y171" s="157"/>
      <c r="Z171" s="157"/>
      <c r="AA171" s="157">
        <v>671.0967741935484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ht="12.75">
      <c r="C172" s="184">
        <f t="shared" si="16"/>
        <v>2007.7499945000081</v>
      </c>
      <c r="D172" s="152">
        <v>39326</v>
      </c>
      <c r="E172" s="157">
        <f>25027/30</f>
        <v>834.2333333333333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0">
        <f>86428/30</f>
        <v>2880.9333333333334</v>
      </c>
      <c r="K172" s="260"/>
      <c r="L172" s="157">
        <f>8015/30</f>
        <v>267.1666666666667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ht="12.75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546.6451612903226</v>
      </c>
      <c r="G173" s="157">
        <f>40251/31</f>
        <v>1298.4193548387098</v>
      </c>
      <c r="H173" s="157">
        <f>60333/31</f>
        <v>1946.225806451613</v>
      </c>
      <c r="I173" s="157">
        <v>165.3548387096774</v>
      </c>
      <c r="J173" s="260">
        <f>87919/31</f>
        <v>2836.0967741935483</v>
      </c>
      <c r="K173" s="260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42.61290322580645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ht="12.75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0">
        <f>84130/30</f>
        <v>2804.3333333333335</v>
      </c>
      <c r="K174" s="260"/>
      <c r="L174" s="157">
        <f>7857/30</f>
        <v>261.9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ht="12.75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674.9354838709677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0">
        <f>82208/31</f>
        <v>2651.8709677419356</v>
      </c>
      <c r="K175" s="260"/>
      <c r="L175" s="157">
        <f>7761/31</f>
        <v>250.3548387096774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</v>
      </c>
      <c r="U175" s="157">
        <f>531766/31</f>
        <v>17153.74193548387</v>
      </c>
      <c r="V175" s="157"/>
      <c r="W175" s="157">
        <f>756499/31</f>
        <v>24403.1935483871</v>
      </c>
      <c r="X175" s="157">
        <f>1115578/31</f>
        <v>35986.3870967742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118235.7741935484</v>
      </c>
      <c r="AJ175" s="138">
        <f t="shared" si="18"/>
        <v>113869</v>
      </c>
    </row>
    <row r="176" spans="3:36" ht="12.75">
      <c r="C176" s="184">
        <f t="shared" si="16"/>
        <v>2008.0833277000083</v>
      </c>
      <c r="D176" s="152">
        <v>39448</v>
      </c>
      <c r="E176" s="157">
        <f>27460/31</f>
        <v>885.8064516129032</v>
      </c>
      <c r="F176" s="157">
        <f>19191/31</f>
        <v>619.0645161290323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0">
        <f>86419/31</f>
        <v>2787.7096774193546</v>
      </c>
      <c r="K176" s="260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</v>
      </c>
      <c r="U176" s="157">
        <f>523996/31</f>
        <v>16903.09677419355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ht="12.75">
      <c r="C177" s="184">
        <f t="shared" si="16"/>
        <v>2008.1666610000084</v>
      </c>
      <c r="D177" s="152">
        <v>39479</v>
      </c>
      <c r="E177" s="157">
        <f>24932/29</f>
        <v>859.7241379310345</v>
      </c>
      <c r="F177" s="157">
        <f>18208/29</f>
        <v>627.8620689655172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0">
        <f>74593/29</f>
        <v>2572.1724137931033</v>
      </c>
      <c r="K177" s="260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19.93103448275862</v>
      </c>
      <c r="R177" s="156">
        <f>1189/29</f>
        <v>41</v>
      </c>
      <c r="S177" s="157">
        <f>311917/29</f>
        <v>10755.758620689656</v>
      </c>
      <c r="T177" s="157">
        <f>27704/29</f>
        <v>955.3103448275862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</v>
      </c>
      <c r="Y177" s="157"/>
      <c r="Z177" s="157"/>
      <c r="AA177" s="157">
        <f>11246/29</f>
        <v>387.7931034482759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aca="true" t="shared" si="19" ref="AJ177:AJ187">+AJ176</f>
        <v>120028</v>
      </c>
    </row>
    <row r="178" spans="3:36" ht="12.75">
      <c r="C178" s="184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53">
        <f>85577/31</f>
        <v>2760.548387096774</v>
      </c>
      <c r="K178" s="253"/>
      <c r="L178" s="148">
        <v>253.6451612903226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138">
        <f t="shared" si="19"/>
        <v>120028</v>
      </c>
    </row>
    <row r="179" spans="3:36" ht="12.75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53">
        <f>82758/30</f>
        <v>2758.6</v>
      </c>
      <c r="K179" s="253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ht="12.75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60">
        <f>85851/31</f>
        <v>2769.3870967741937</v>
      </c>
      <c r="K180" s="260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ht="12.75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60">
        <f>87560/30</f>
        <v>2918.6666666666665</v>
      </c>
      <c r="K181" s="260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34.46666666666667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ht="12.75">
      <c r="C182" s="184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0">
        <f>88738/31</f>
        <v>2862.516129032258</v>
      </c>
      <c r="K182" s="260"/>
      <c r="L182" s="148">
        <v>274.8709677419355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ht="12.75">
      <c r="C183" s="184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53">
        <f>88926/31</f>
        <v>2868.5806451612902</v>
      </c>
      <c r="K183" s="253"/>
      <c r="L183" s="148">
        <v>271.5483870967742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ht="12.75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53">
        <f>86401/30</f>
        <v>2880.0333333333333</v>
      </c>
      <c r="K184" s="253"/>
      <c r="L184" s="148">
        <v>267.3666666666667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ht="12.75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53">
        <v>2812</v>
      </c>
      <c r="K185" s="253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138">
        <f t="shared" si="19"/>
        <v>120028</v>
      </c>
    </row>
    <row r="186" spans="3:36" ht="12.75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53">
        <f>80326/30</f>
        <v>2677.5333333333333</v>
      </c>
      <c r="K186" s="253"/>
      <c r="L186" s="148">
        <f>8778/30</f>
        <v>292.6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ht="12.75">
      <c r="C187" s="184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53">
        <f>79547/31</f>
        <v>2566.032258064516</v>
      </c>
      <c r="K187" s="253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ht="12.75">
      <c r="C188" s="184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53">
        <f>84836/31</f>
        <v>2736.6451612903224</v>
      </c>
      <c r="K188" s="253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138">
        <v>145280</v>
      </c>
    </row>
    <row r="189" spans="3:36" ht="12.75">
      <c r="C189" s="184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53">
        <f>77894/28</f>
        <v>2781.9285714285716</v>
      </c>
      <c r="K189" s="253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138">
        <f aca="true" t="shared" si="21" ref="AJ189:AJ207">+AJ188</f>
        <v>145280</v>
      </c>
    </row>
    <row r="190" spans="3:36" ht="12.75">
      <c r="C190" s="184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53">
        <f>85996/31</f>
        <v>2774.064516129032</v>
      </c>
      <c r="K190" s="253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ht="12.75">
      <c r="C191" s="184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53">
        <f>79835/30</f>
        <v>2661.1666666666665</v>
      </c>
      <c r="K191" s="253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ht="12.75">
      <c r="C192" s="184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53">
        <f>85955/31</f>
        <v>2772.7419354838707</v>
      </c>
      <c r="K192" s="253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36" ht="12.75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53">
        <f>83911/30</f>
        <v>2797.0333333333333</v>
      </c>
      <c r="K193" s="253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36" ht="12.75">
      <c r="C194" s="184">
        <f t="shared" si="20"/>
        <v>2009.5833271000092</v>
      </c>
      <c r="D194" s="152">
        <v>39995</v>
      </c>
      <c r="E194" s="148">
        <f>24682/31</f>
        <v>796.1935483870968</v>
      </c>
      <c r="F194" s="159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53">
        <f>84624/31</f>
        <v>2729.8064516129034</v>
      </c>
      <c r="K194" s="253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36" ht="12.75">
      <c r="C195" s="184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53">
        <f>90419/31</f>
        <v>2916.7419354838707</v>
      </c>
      <c r="K195" s="253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138">
        <f t="shared" si="21"/>
        <v>145280</v>
      </c>
    </row>
    <row r="196" spans="3:36" ht="12.75">
      <c r="C196" s="184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53">
        <f>90750/30</f>
        <v>3025</v>
      </c>
      <c r="K196" s="253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36" ht="12.75">
      <c r="C197" s="184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53">
        <f>107300/31</f>
        <v>3461.2903225806454</v>
      </c>
      <c r="K197" s="253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36" ht="12.75">
      <c r="C198" s="184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53">
        <f>108534/30</f>
        <v>3617.8</v>
      </c>
      <c r="K198" s="253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36" ht="12.75">
      <c r="C199" s="184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53">
        <f>103950/31</f>
        <v>3353.2258064516127</v>
      </c>
      <c r="K199" s="253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138">
        <f t="shared" si="21"/>
        <v>145280</v>
      </c>
    </row>
    <row r="200" spans="3:36" ht="12.75">
      <c r="C200" s="184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53">
        <f>120268/31</f>
        <v>3879.6129032258063</v>
      </c>
      <c r="K200" s="253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36" s="138" customFormat="1" ht="12.75">
      <c r="C201" s="184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53">
        <f>93325/28</f>
        <v>3333.035714285714</v>
      </c>
      <c r="K201" s="253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36" s="138" customFormat="1" ht="12.75">
      <c r="C202" s="184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53">
        <f>109834/31</f>
        <v>3543.032258064516</v>
      </c>
      <c r="K202" s="253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36" s="138" customFormat="1" ht="12.75">
      <c r="C203" s="184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53">
        <f>110030/30</f>
        <v>3667.6666666666665</v>
      </c>
      <c r="K203" s="253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160">
        <f t="shared" si="21"/>
        <v>157159</v>
      </c>
    </row>
    <row r="204" spans="3:36" ht="12.75">
      <c r="C204" s="184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53">
        <f>97085/31</f>
        <v>3131.7741935483873</v>
      </c>
      <c r="K204" s="253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36" ht="12.75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53">
        <f>106530/30</f>
        <v>3551</v>
      </c>
      <c r="K205" s="253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160">
        <f t="shared" si="21"/>
        <v>157159</v>
      </c>
    </row>
    <row r="206" spans="3:63" ht="12.75">
      <c r="C206" s="184">
        <f aca="true" t="shared" si="22" ref="C206:C269">+C205+0.0833333</f>
        <v>2010.5833267000098</v>
      </c>
      <c r="D206" s="152">
        <v>40360</v>
      </c>
      <c r="E206" s="163">
        <f>33330/31</f>
        <v>1075.1612903225807</v>
      </c>
      <c r="F206" s="163">
        <v>575.7096774193549</v>
      </c>
      <c r="G206" s="163">
        <f>65941/31</f>
        <v>2127.1290322580644</v>
      </c>
      <c r="H206" s="163">
        <v>939.2258064516129</v>
      </c>
      <c r="I206" s="163">
        <v>195.7741935483871</v>
      </c>
      <c r="J206" s="253">
        <f>91473/31</f>
        <v>2950.7419354838707</v>
      </c>
      <c r="K206" s="253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4435.967741935484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4">
        <f t="shared" si="22"/>
        <v>2010.6666600000099</v>
      </c>
      <c r="D207" s="152">
        <v>40391</v>
      </c>
      <c r="E207" s="163">
        <v>972.258064516129</v>
      </c>
      <c r="F207" s="163">
        <f>17801/31</f>
        <v>574.2258064516129</v>
      </c>
      <c r="G207" s="163">
        <f>69904/31</f>
        <v>2254.967741935484</v>
      </c>
      <c r="H207" s="163">
        <f>29581/31</f>
        <v>954.2258064516129</v>
      </c>
      <c r="I207" s="163">
        <f>6124/31</f>
        <v>197.5483870967742</v>
      </c>
      <c r="J207" s="253">
        <f>81817/31</f>
        <v>2639.2580645161293</v>
      </c>
      <c r="K207" s="253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</v>
      </c>
      <c r="X207" s="163">
        <f>1548446/31</f>
        <v>49949.87096774193</v>
      </c>
      <c r="Y207" s="163">
        <f>1026096/31</f>
        <v>33099.87096774193</v>
      </c>
      <c r="Z207" s="163"/>
      <c r="AA207" s="163">
        <f>11781/31</f>
        <v>380.03225806451616</v>
      </c>
      <c r="AB207" s="163">
        <f>2959/31</f>
        <v>95.45161290322581</v>
      </c>
      <c r="AC207" s="163">
        <f>80415/31</f>
        <v>2594.032258064516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4">
        <f t="shared" si="22"/>
        <v>2010.74999330001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</v>
      </c>
      <c r="I208" s="163">
        <v>178.63333333333333</v>
      </c>
      <c r="J208" s="253">
        <f>80223/30</f>
        <v>2674.1</v>
      </c>
      <c r="K208" s="253"/>
      <c r="L208" s="163">
        <v>245.9</v>
      </c>
      <c r="M208" s="163">
        <f>396069/30</f>
        <v>13202.3</v>
      </c>
      <c r="N208" s="163"/>
      <c r="O208" s="163">
        <f>117277/30</f>
        <v>3909.233333333333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33191.2</v>
      </c>
      <c r="Z208" s="163"/>
      <c r="AA208" s="163">
        <v>289.3</v>
      </c>
      <c r="AB208" s="163">
        <v>96.13333333333334</v>
      </c>
      <c r="AC208" s="163">
        <f>63936/30</f>
        <v>2131.2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53">
        <f>87966/31</f>
        <v>2837.6129032258063</v>
      </c>
      <c r="K209" s="253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52.32258064516129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</v>
      </c>
      <c r="X209" s="163">
        <f>1503939/31</f>
        <v>48514.16129032258</v>
      </c>
      <c r="Y209" s="163">
        <f>1045986/31</f>
        <v>33741.48387096774</v>
      </c>
      <c r="Z209" s="163"/>
      <c r="AA209" s="163">
        <v>318.4193548387097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581.7666666666667</v>
      </c>
      <c r="G210" s="163">
        <f>106206/30</f>
        <v>3540.2</v>
      </c>
      <c r="H210" s="163">
        <v>953.1</v>
      </c>
      <c r="I210" s="163">
        <v>182.66666666666666</v>
      </c>
      <c r="J210" s="253">
        <f>87026/30</f>
        <v>2900.866666666667</v>
      </c>
      <c r="K210" s="253"/>
      <c r="L210" s="163">
        <v>233.2</v>
      </c>
      <c r="M210" s="163">
        <f>394580/30</f>
        <v>13152.666666666666</v>
      </c>
      <c r="N210" s="163"/>
      <c r="O210" s="163">
        <f>95464/30</f>
        <v>3182.133333333333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40" ht="12.75">
      <c r="C211" s="184">
        <f t="shared" si="22"/>
        <v>2010.99999320001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53">
        <v>2743</v>
      </c>
      <c r="K211" s="253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36" ht="12.75">
      <c r="C212" s="184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53">
        <f>84980/31</f>
        <v>2741.2903225806454</v>
      </c>
      <c r="K212" s="253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160">
        <v>152716</v>
      </c>
    </row>
    <row r="213" spans="3:36" ht="12.75">
      <c r="C213" s="184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53">
        <f>81774/28</f>
        <v>2920.5</v>
      </c>
      <c r="K213" s="253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37" ht="12.75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53">
        <f>87762/31</f>
        <v>2831.032258064516</v>
      </c>
      <c r="K214" s="253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53">
        <f>82573/30</f>
        <v>2752.4333333333334</v>
      </c>
      <c r="K215" s="253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53">
        <v>2798</v>
      </c>
      <c r="K216" s="253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39" ht="12.75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53">
        <f>88734/30</f>
        <v>2957.8</v>
      </c>
      <c r="K217" s="253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53">
        <f>94911/31</f>
        <v>3061.6451612903224</v>
      </c>
      <c r="K218" s="253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4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53">
        <f>97382/31</f>
        <v>3141.3548387096776</v>
      </c>
      <c r="K219" s="253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53">
        <f>97457/30</f>
        <v>3248.5666666666666</v>
      </c>
      <c r="K220" s="253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4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53">
        <f>99680/31</f>
        <v>3215.483870967742</v>
      </c>
      <c r="K221" s="253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53">
        <f>104127/30</f>
        <v>3470.9</v>
      </c>
      <c r="K222" s="253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469.8709677419355</v>
      </c>
      <c r="G223" s="164">
        <v>3234.2258064516127</v>
      </c>
      <c r="H223" s="164">
        <v>830.516129032258</v>
      </c>
      <c r="I223" s="164">
        <v>162.83870967741936</v>
      </c>
      <c r="J223" s="256">
        <v>3436</v>
      </c>
      <c r="K223" s="256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9883.548387096775</v>
      </c>
      <c r="V223" s="164"/>
      <c r="W223" s="164">
        <v>16629.1935483871</v>
      </c>
      <c r="X223" s="164">
        <v>36491.41935483871</v>
      </c>
      <c r="Y223" s="164">
        <v>39760.87096774193</v>
      </c>
      <c r="Z223" s="164"/>
      <c r="AA223" s="164">
        <v>443.93548387096774</v>
      </c>
      <c r="AB223" s="164">
        <v>113.87096774193549</v>
      </c>
      <c r="AC223" s="164">
        <v>2495.032258064516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4">
        <f t="shared" si="22"/>
        <v>2012.0833261000107</v>
      </c>
      <c r="D224" s="152">
        <v>40909</v>
      </c>
      <c r="E224" s="165">
        <v>1078.032258064516</v>
      </c>
      <c r="F224" s="166">
        <v>471.9032258064516</v>
      </c>
      <c r="G224" s="166">
        <v>2785.7741935483873</v>
      </c>
      <c r="H224" s="166">
        <v>824.258064516129</v>
      </c>
      <c r="I224" s="166">
        <v>157.48387096774192</v>
      </c>
      <c r="J224" s="259">
        <v>3291.64516129032</v>
      </c>
      <c r="K224" s="259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33177.25806451613</v>
      </c>
      <c r="Z224" s="166"/>
      <c r="AA224" s="166">
        <v>370.5483870967742</v>
      </c>
      <c r="AB224" s="166">
        <v>80.87096774193549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53">
        <f>83102/29</f>
        <v>2865.5862068965516</v>
      </c>
      <c r="K225" s="253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53">
        <f>99764/31</f>
        <v>3218.1935483870966</v>
      </c>
      <c r="K226" s="253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4">
        <f t="shared" si="22"/>
        <v>2012.3333260000109</v>
      </c>
      <c r="D227" s="152">
        <v>41000</v>
      </c>
      <c r="E227" s="167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53">
        <v>3018.4333333333334</v>
      </c>
      <c r="K227" s="253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4">
        <f t="shared" si="22"/>
        <v>2012.416659300011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53">
        <v>3254.41935483871</v>
      </c>
      <c r="K228" s="253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53">
        <v>3280.2</v>
      </c>
      <c r="K229" s="253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53">
        <v>3272.1612903225805</v>
      </c>
      <c r="K230" s="253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4">
        <f t="shared" si="22"/>
        <v>2012.666659200011</v>
      </c>
      <c r="D231" s="152">
        <v>41122</v>
      </c>
      <c r="E231" s="167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53">
        <v>3518.03225806452</v>
      </c>
      <c r="K231" s="253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4">
        <f t="shared" si="22"/>
        <v>2012.749992500011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53">
        <v>3496</v>
      </c>
      <c r="K232" s="253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4">
        <f t="shared" si="22"/>
        <v>2012.8333258000112</v>
      </c>
      <c r="D233" s="152">
        <v>41183</v>
      </c>
      <c r="E233" s="167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53">
        <f>113288/31</f>
        <v>3654.451612903226</v>
      </c>
      <c r="K233" s="253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53">
        <v>3587</v>
      </c>
      <c r="K234" s="253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750.8064516129032</v>
      </c>
      <c r="I235" s="164">
        <v>147.25806451612902</v>
      </c>
      <c r="J235" s="256">
        <v>3640.741935</v>
      </c>
      <c r="K235" s="256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92.48387096774194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</v>
      </c>
      <c r="V235" s="164"/>
      <c r="W235" s="164">
        <v>15099.451612903225</v>
      </c>
      <c r="X235" s="164">
        <v>60833.16129032258</v>
      </c>
      <c r="Y235" s="164">
        <v>35531.87096774193</v>
      </c>
      <c r="Z235" s="164"/>
      <c r="AA235" s="164">
        <v>302.1290322580645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-304.967742419336</v>
      </c>
    </row>
    <row r="236" spans="3:37" ht="12.75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56">
        <f>104345/31</f>
        <v>3365.967741935484</v>
      </c>
      <c r="K236" s="256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747.0000004838512</v>
      </c>
    </row>
    <row r="237" spans="3:44" ht="12.75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56">
        <f>98920/28</f>
        <v>3532.8571428571427</v>
      </c>
      <c r="K237" s="256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138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56">
        <f>93904/31</f>
        <v>3029.1612903225805</v>
      </c>
      <c r="K238" s="256"/>
      <c r="L238" s="148">
        <f>6524/31</f>
        <v>210.4516129032258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3">
        <f>1277480/31</f>
        <v>41209.032258064515</v>
      </c>
      <c r="Z238" s="163"/>
      <c r="AA238" s="163">
        <v>383.4193548387097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</v>
      </c>
      <c r="AH238" s="163"/>
      <c r="AI238" s="148">
        <f aca="true" t="shared" si="30" ref="AI238:AI252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37" ht="12.75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716.4333333333333</v>
      </c>
      <c r="I239" s="156">
        <f>3585/30</f>
        <v>119.5</v>
      </c>
      <c r="J239" s="254">
        <f>95861/30</f>
        <v>3195.366666666667</v>
      </c>
      <c r="K239" s="255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</v>
      </c>
      <c r="P239" s="156"/>
      <c r="Q239" s="156">
        <f>2672/30</f>
        <v>89.06666666666666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37" ht="13.5" customHeight="1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</v>
      </c>
      <c r="I240" s="158">
        <f>3925/31</f>
        <v>126.61290322580645</v>
      </c>
      <c r="J240" s="254">
        <f>109894/31</f>
        <v>3544.967741935484</v>
      </c>
      <c r="K240" s="255"/>
      <c r="L240" s="156">
        <f>6351/31</f>
        <v>204.8709677419355</v>
      </c>
      <c r="M240" s="157">
        <f>388960/31</f>
        <v>12547.09677419355</v>
      </c>
      <c r="N240" s="157"/>
      <c r="O240" s="157">
        <f>136474/31</f>
        <v>4402.387096774193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</v>
      </c>
      <c r="U240" s="170">
        <f>327381/31</f>
        <v>10560.677419354839</v>
      </c>
      <c r="V240" s="170"/>
      <c r="W240" s="170">
        <f>454705/31</f>
        <v>14667.90322580645</v>
      </c>
      <c r="X240" s="170">
        <f>1987288/31</f>
        <v>64106.06451612903</v>
      </c>
      <c r="Y240" s="170">
        <f>1210405/31</f>
        <v>39045.32258064516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164.4516129032258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7" ht="12.75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</v>
      </c>
      <c r="I241" s="157">
        <f>3841/30</f>
        <v>128.03333333333333</v>
      </c>
      <c r="J241" s="254">
        <f>92416/30</f>
        <v>3080.5333333333333</v>
      </c>
      <c r="K241" s="255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5201.533333333334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9896.033333333333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2523.366666666667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7" ht="12.75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</v>
      </c>
      <c r="I242" s="157">
        <f>4505/31</f>
        <v>145.32258064516128</v>
      </c>
      <c r="J242" s="254">
        <f>112945/31</f>
        <v>3643.3870967741937</v>
      </c>
      <c r="K242" s="255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88.2258064516129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9517.516129032258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263.4193548387097</v>
      </c>
      <c r="AB242" s="170">
        <v>92.12903225806451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</v>
      </c>
    </row>
    <row r="243" spans="3:37" ht="12.75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437.741935483871</v>
      </c>
      <c r="G243" s="157">
        <f>61100/31</f>
        <v>1970.967741935484</v>
      </c>
      <c r="H243" s="157">
        <f>28127/31</f>
        <v>907.3225806451613</v>
      </c>
      <c r="I243" s="157">
        <f>4088/31</f>
        <v>131.8709677419355</v>
      </c>
      <c r="J243" s="254">
        <f>115529/31</f>
        <v>3726.7419354838707</v>
      </c>
      <c r="K243" s="255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</v>
      </c>
      <c r="V243" s="170"/>
      <c r="W243" s="170">
        <f>471975/31</f>
        <v>15225</v>
      </c>
      <c r="X243" s="170">
        <f>2082905/31</f>
        <v>67190.48387096774</v>
      </c>
      <c r="Y243" s="170">
        <f>1181110/31</f>
        <v>38100.32258064516</v>
      </c>
      <c r="Z243" s="170"/>
      <c r="AA243" s="170">
        <v>373.0967741935484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ht="12.75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54">
        <f>111777/30</f>
        <v>3725.9</v>
      </c>
      <c r="K244" s="255"/>
      <c r="L244" s="157">
        <v>206.2</v>
      </c>
      <c r="M244" s="157">
        <f>289230/30</f>
        <v>9641</v>
      </c>
      <c r="N244" s="157"/>
      <c r="O244" s="157">
        <f>181478/30</f>
        <v>6049.266666666666</v>
      </c>
      <c r="P244" s="157"/>
      <c r="Q244" s="157">
        <v>88.46666666666667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8753.8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2214.366666666667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</v>
      </c>
      <c r="G245" s="157">
        <f>52513/31</f>
        <v>1693.967741935484</v>
      </c>
      <c r="H245" s="157">
        <f>21460/31</f>
        <v>692.258064516129</v>
      </c>
      <c r="I245" s="157">
        <f>4285/31</f>
        <v>138.2258064516129</v>
      </c>
      <c r="J245" s="254">
        <f>110419/31</f>
        <v>3561.9032258064517</v>
      </c>
      <c r="K245" s="255"/>
      <c r="L245" s="157">
        <f>6326/31</f>
        <v>204.06451612903226</v>
      </c>
      <c r="M245" s="157">
        <f>293206/31</f>
        <v>9458.258064516129</v>
      </c>
      <c r="N245" s="157"/>
      <c r="O245" s="157">
        <f>158448/31</f>
        <v>5111.225806451613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</v>
      </c>
      <c r="U245" s="170">
        <f>309727/31</f>
        <v>9991.193548387097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285.9032258064516</v>
      </c>
      <c r="AB245" s="170">
        <v>97.61290322580645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54">
        <f>105792/30</f>
        <v>3526.4</v>
      </c>
      <c r="K246" s="255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</v>
      </c>
      <c r="U246" s="163">
        <f>296319/30</f>
        <v>9877.3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36941.46666666667</v>
      </c>
      <c r="Z246" s="163"/>
      <c r="AA246" s="163">
        <v>209.96666666666667</v>
      </c>
      <c r="AB246" s="163">
        <v>90.83333333333333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7" ht="12.75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</v>
      </c>
      <c r="G247" s="157">
        <f>65913/31</f>
        <v>2126.2258064516127</v>
      </c>
      <c r="H247" s="157">
        <f>20252/31</f>
        <v>653.2903225806451</v>
      </c>
      <c r="I247" s="157">
        <f>4072/31</f>
        <v>131.3548387096774</v>
      </c>
      <c r="J247" s="254">
        <f>110534/31</f>
        <v>3565.6129032258063</v>
      </c>
      <c r="K247" s="255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7099.258064516129</v>
      </c>
      <c r="P247" s="156"/>
      <c r="Q247" s="157">
        <f>2547/31</f>
        <v>82.16129032258064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37645.83870967742</v>
      </c>
      <c r="Z247" s="163"/>
      <c r="AA247" s="163">
        <v>400.96774193548384</v>
      </c>
      <c r="AB247" s="163">
        <v>125.64516129032258</v>
      </c>
      <c r="AC247" s="163">
        <f>72325/31</f>
        <v>2333.064516129032</v>
      </c>
      <c r="AD247" s="163">
        <v>463.3225806451613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7" ht="12.75">
      <c r="C248" s="184">
        <f t="shared" si="22"/>
        <v>2014.083325300012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</v>
      </c>
      <c r="I248" s="174">
        <f>4005/31</f>
        <v>129.19354838709677</v>
      </c>
      <c r="J248" s="257">
        <f>110291/31</f>
        <v>3557.7741935483873</v>
      </c>
      <c r="K248" s="258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</v>
      </c>
      <c r="Y248" s="174">
        <f>1133917/31</f>
        <v>36577.967741935485</v>
      </c>
      <c r="Z248" s="174"/>
      <c r="AA248" s="174">
        <v>226.41935483870967</v>
      </c>
      <c r="AB248" s="174">
        <v>86.93548387096774</v>
      </c>
      <c r="AC248" s="174">
        <f>67456/31</f>
        <v>2176</v>
      </c>
      <c r="AD248" s="174">
        <f>42864/31</f>
        <v>1382.7096774193549</v>
      </c>
      <c r="AE248" s="174">
        <v>70.35483870967742</v>
      </c>
      <c r="AF248" s="174"/>
      <c r="AG248" s="174"/>
      <c r="AH248" s="175"/>
      <c r="AI248" s="148">
        <f t="shared" si="30"/>
        <v>156656.38709677418</v>
      </c>
      <c r="AJ248" s="197">
        <f>63046641/365</f>
        <v>172730.52328767124</v>
      </c>
      <c r="AK248" s="138">
        <f t="shared" si="28"/>
        <v>-12182.903225806454</v>
      </c>
    </row>
    <row r="249" spans="3:37" ht="12.75">
      <c r="C249" s="184">
        <f t="shared" si="22"/>
        <v>2014.166658600012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</v>
      </c>
      <c r="I249" s="174">
        <f>3547/28</f>
        <v>126.67857142857143</v>
      </c>
      <c r="J249" s="257">
        <f>101369/28</f>
        <v>3620.3214285714284</v>
      </c>
      <c r="K249" s="258"/>
      <c r="L249" s="174">
        <f>5722/28</f>
        <v>204.35714285714286</v>
      </c>
      <c r="M249" s="174">
        <f>293739/28</f>
        <v>10490.67857142857</v>
      </c>
      <c r="N249" s="174"/>
      <c r="O249" s="174">
        <f>185497/28</f>
        <v>6624.892857142857</v>
      </c>
      <c r="P249" s="174"/>
      <c r="Q249" s="174">
        <f>1952/28</f>
        <v>69.71428571428571</v>
      </c>
      <c r="R249" s="174">
        <f>831/28</f>
        <v>29.678571428571427</v>
      </c>
      <c r="S249" s="175">
        <f>+(270203+36010)/28</f>
        <v>10936.17857142857</v>
      </c>
      <c r="T249" s="175">
        <f>198440/28</f>
        <v>7087.142857142857</v>
      </c>
      <c r="U249" s="175">
        <f>273846/28</f>
        <v>9780.214285714286</v>
      </c>
      <c r="V249" s="175"/>
      <c r="W249" s="175">
        <f>406684/28</f>
        <v>14524.42857142857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</v>
      </c>
      <c r="AB249" s="175">
        <v>78.60714285714286</v>
      </c>
      <c r="AC249" s="175">
        <f>60777/28</f>
        <v>2170.6071428571427</v>
      </c>
      <c r="AD249" s="175">
        <f>94887/28</f>
        <v>3388.8214285714284</v>
      </c>
      <c r="AE249" s="175">
        <v>409.5357142857143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17354.79147465434</v>
      </c>
    </row>
    <row r="250" spans="3:37" ht="12.75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</v>
      </c>
      <c r="I250" s="174">
        <v>129.1290322580645</v>
      </c>
      <c r="J250" s="257">
        <f>112963/31</f>
        <v>3643.967741935484</v>
      </c>
      <c r="K250" s="258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</v>
      </c>
      <c r="P250" s="174"/>
      <c r="Q250" s="174">
        <f>2452/31</f>
        <v>79.09677419354838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62449.1935483871</v>
      </c>
      <c r="Y250" s="175">
        <f>1238318/31</f>
        <v>39945.74193548387</v>
      </c>
      <c r="Z250" s="175">
        <f>37922/31</f>
        <v>1223.2903225806451</v>
      </c>
      <c r="AA250" s="175">
        <v>297.8709677419355</v>
      </c>
      <c r="AB250" s="175">
        <v>79.96774193548387</v>
      </c>
      <c r="AC250" s="175">
        <f>74828/31</f>
        <v>2413.8064516129034</v>
      </c>
      <c r="AD250" s="175">
        <f>142463/31</f>
        <v>4595.580645161291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6865.047235023114</v>
      </c>
    </row>
    <row r="251" spans="3:37" ht="12.75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7">
        <f>108338/30</f>
        <v>3611.266666666667</v>
      </c>
      <c r="K251" s="258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7063.733333333334</v>
      </c>
      <c r="P251" s="174"/>
      <c r="Q251" s="174">
        <f>2127/30</f>
        <v>70.9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3638.366666666667</v>
      </c>
      <c r="U251" s="175">
        <f>297202/30</f>
        <v>9906.733333333334</v>
      </c>
      <c r="V251" s="175"/>
      <c r="W251" s="175">
        <f>336532/30</f>
        <v>11217.733333333334</v>
      </c>
      <c r="X251" s="175">
        <f>1764624/30</f>
        <v>58820.8</v>
      </c>
      <c r="Y251" s="175">
        <f>1247820/30</f>
        <v>41594</v>
      </c>
      <c r="Z251" s="175">
        <f>195137/30</f>
        <v>6504.566666666667</v>
      </c>
      <c r="AA251" s="175">
        <v>329.46666666666664</v>
      </c>
      <c r="AB251" s="175">
        <v>99.4</v>
      </c>
      <c r="AC251" s="175">
        <f>67477/30</f>
        <v>2249.233333333333</v>
      </c>
      <c r="AD251" s="175">
        <f>153991/30</f>
        <v>5133.033333333334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-2993.092473118275</v>
      </c>
    </row>
    <row r="252" spans="3:37" ht="12.75">
      <c r="C252" s="184">
        <f t="shared" si="22"/>
        <v>2014.416658500012</v>
      </c>
      <c r="D252" s="136">
        <v>41760</v>
      </c>
      <c r="E252" s="174">
        <f>43335/31</f>
        <v>1397.9032258064517</v>
      </c>
      <c r="F252" s="174">
        <f>12073/31</f>
        <v>389.4516129032258</v>
      </c>
      <c r="G252" s="174">
        <f>44466/31</f>
        <v>1434.3870967741937</v>
      </c>
      <c r="H252" s="174">
        <f>19050/31</f>
        <v>614.516129032258</v>
      </c>
      <c r="I252" s="174">
        <f>3807/31</f>
        <v>122.80645161290323</v>
      </c>
      <c r="J252" s="257">
        <f>109035/31</f>
        <v>3517.2580645161293</v>
      </c>
      <c r="K252" s="258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67.19354838709677</v>
      </c>
      <c r="R252" s="174">
        <f>725/31</f>
        <v>23.387096774193548</v>
      </c>
      <c r="S252" s="175">
        <f>+(337789+43167)/31</f>
        <v>12288.90322580645</v>
      </c>
      <c r="T252" s="175">
        <f>154337/31</f>
        <v>4978.612903225807</v>
      </c>
      <c r="U252" s="175">
        <f>300212/31</f>
        <v>9684.258064516129</v>
      </c>
      <c r="V252" s="175"/>
      <c r="W252" s="175">
        <f>418425/31</f>
        <v>13497.58064516129</v>
      </c>
      <c r="X252" s="175">
        <f>1770179/31</f>
        <v>57102.54838709677</v>
      </c>
      <c r="Y252" s="175">
        <f>1162245/31</f>
        <v>37491.77419354839</v>
      </c>
      <c r="Z252" s="175">
        <f>181328/31</f>
        <v>5849.290322580645</v>
      </c>
      <c r="AA252" s="175">
        <v>256.2903225806452</v>
      </c>
      <c r="AB252" s="175">
        <v>107.25806451612904</v>
      </c>
      <c r="AC252" s="175">
        <f>72581/31</f>
        <v>2341.3225806451615</v>
      </c>
      <c r="AD252" s="175">
        <f>163900/31</f>
        <v>5287.096774193548</v>
      </c>
      <c r="AE252" s="175"/>
      <c r="AF252" s="175"/>
      <c r="AG252" s="175"/>
      <c r="AH252" s="175"/>
      <c r="AI252" s="148">
        <f t="shared" si="30"/>
        <v>173546.2580645161</v>
      </c>
      <c r="AJ252" s="138">
        <f>+AJ251</f>
        <v>172730.52328767124</v>
      </c>
      <c r="AK252" s="138">
        <f t="shared" si="28"/>
        <v>-4336.875268817268</v>
      </c>
    </row>
    <row r="253" spans="3:37" ht="12.75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7">
        <v>3547</v>
      </c>
      <c r="K253" s="258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aca="true" t="shared" si="31" ref="AI253:AI266">SUM(E253:AH253)</f>
        <v>168850</v>
      </c>
      <c r="AJ253" s="138">
        <f>+AJ252</f>
        <v>172730.52328767124</v>
      </c>
      <c r="AK253" s="138">
        <f t="shared" si="28"/>
        <v>-4696.258064516092</v>
      </c>
    </row>
    <row r="254" spans="3:37" ht="12.75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720.4516129032259</v>
      </c>
      <c r="I254" s="174">
        <v>129.6451612903226</v>
      </c>
      <c r="J254" s="257">
        <v>3668.6129032258063</v>
      </c>
      <c r="K254" s="258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69.45161290322581</v>
      </c>
      <c r="R254" s="174">
        <v>22.322580645161292</v>
      </c>
      <c r="S254" s="175">
        <v>12034.58064516129</v>
      </c>
      <c r="T254" s="175">
        <v>4460.096774193548</v>
      </c>
      <c r="U254" s="175">
        <v>8279.516129032258</v>
      </c>
      <c r="V254" s="175"/>
      <c r="W254" s="175">
        <v>13959.032258064517</v>
      </c>
      <c r="X254" s="175">
        <v>59400.1935483871</v>
      </c>
      <c r="Y254" s="175">
        <v>34352.87096774193</v>
      </c>
      <c r="Z254" s="175">
        <v>8225.741935483871</v>
      </c>
      <c r="AA254" s="175">
        <v>389.2258064516129</v>
      </c>
      <c r="AB254" s="175">
        <v>90.6774193548387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173862.7741935484</v>
      </c>
      <c r="AJ254" s="138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</v>
      </c>
      <c r="G255" s="174">
        <v>1568.1290322580646</v>
      </c>
      <c r="H255" s="174">
        <v>685.0322580645161</v>
      </c>
      <c r="I255" s="174">
        <v>127.03225806451613</v>
      </c>
      <c r="J255" s="257">
        <v>3622.1612903225805</v>
      </c>
      <c r="K255" s="258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66.64516129032258</v>
      </c>
      <c r="R255" s="174">
        <v>21.774193548387096</v>
      </c>
      <c r="S255" s="175">
        <v>11472.870967741936</v>
      </c>
      <c r="T255" s="175">
        <v>4686.935483870968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</v>
      </c>
      <c r="AD255" s="175">
        <v>6099.225806451613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7" ht="12.75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7">
        <v>3566</v>
      </c>
      <c r="K256" s="258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</v>
      </c>
    </row>
    <row r="257" spans="3:37" ht="12.75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7">
        <v>3564</v>
      </c>
      <c r="K257" s="258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ht="12.75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684.8333333333334</v>
      </c>
      <c r="I258" s="174">
        <v>136.16666666666666</v>
      </c>
      <c r="J258" s="257">
        <v>3483.9666666666667</v>
      </c>
      <c r="K258" s="258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</v>
      </c>
      <c r="U258" s="175">
        <v>9420.4</v>
      </c>
      <c r="V258" s="175"/>
      <c r="W258" s="175">
        <v>10942.966666666667</v>
      </c>
      <c r="X258" s="175">
        <v>56420.03333333333</v>
      </c>
      <c r="Y258" s="175">
        <v>41538.2</v>
      </c>
      <c r="Z258" s="175">
        <v>6628.066666666667</v>
      </c>
      <c r="AA258" s="175">
        <v>381.6</v>
      </c>
      <c r="AB258" s="175">
        <v>39.266666666666666</v>
      </c>
      <c r="AC258" s="175">
        <v>1941.4</v>
      </c>
      <c r="AD258" s="175">
        <v>6399.966666666666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</v>
      </c>
      <c r="G259" s="177">
        <v>1558.6451612903227</v>
      </c>
      <c r="H259" s="177">
        <v>672.6774193548387</v>
      </c>
      <c r="I259" s="177">
        <v>142.96774193548387</v>
      </c>
      <c r="J259" s="265">
        <v>3553.451612903226</v>
      </c>
      <c r="K259" s="266"/>
      <c r="L259" s="177">
        <v>192.48387096774192</v>
      </c>
      <c r="M259" s="177">
        <v>10229.516129032258</v>
      </c>
      <c r="N259" s="177"/>
      <c r="O259" s="177">
        <v>5328.354838709677</v>
      </c>
      <c r="P259" s="177"/>
      <c r="Q259" s="177">
        <v>58.16129032258065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</v>
      </c>
      <c r="Y259" s="178">
        <v>41640.709677419356</v>
      </c>
      <c r="Z259" s="178">
        <v>6473.741935483871</v>
      </c>
      <c r="AA259" s="178">
        <v>327.8709677419355</v>
      </c>
      <c r="AB259" s="178">
        <v>103.87096774193549</v>
      </c>
      <c r="AC259" s="178">
        <v>1512.2903225806451</v>
      </c>
      <c r="AD259" s="178">
        <v>5657.548387096775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ht="12.75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1485.967741935484</v>
      </c>
      <c r="H260" s="179">
        <v>657.5483870967741</v>
      </c>
      <c r="I260" s="179">
        <v>167.8709677419355</v>
      </c>
      <c r="J260" s="263">
        <v>3458.1612903225805</v>
      </c>
      <c r="K260" s="264"/>
      <c r="L260" s="179">
        <v>192.93548387096774</v>
      </c>
      <c r="M260" s="179">
        <v>10268.774193548386</v>
      </c>
      <c r="N260" s="179"/>
      <c r="O260" s="179">
        <v>4834.419354838709</v>
      </c>
      <c r="P260" s="179"/>
      <c r="Q260" s="179">
        <v>54.74193548387097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8408.58064516129</v>
      </c>
      <c r="V260" s="180"/>
      <c r="W260" s="180">
        <v>11228.064516129032</v>
      </c>
      <c r="X260" s="180">
        <v>53014.6129032258</v>
      </c>
      <c r="Y260" s="180">
        <v>40950.48387096774</v>
      </c>
      <c r="Z260" s="180">
        <v>6223.935483870968</v>
      </c>
      <c r="AA260" s="180">
        <v>278.2903225806452</v>
      </c>
      <c r="AB260" s="180">
        <v>61.903225806451616</v>
      </c>
      <c r="AC260" s="180">
        <v>1984.8709677419354</v>
      </c>
      <c r="AD260" s="180">
        <v>4522.064516129032</v>
      </c>
      <c r="AE260" s="180">
        <v>683.3870967741935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ht="12.75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63">
        <v>3550.9285714285716</v>
      </c>
      <c r="K261" s="264"/>
      <c r="L261" s="179">
        <v>193.14285714285714</v>
      </c>
      <c r="M261" s="179">
        <v>10297.214285714286</v>
      </c>
      <c r="N261" s="179"/>
      <c r="O261" s="179">
        <v>4797.535714285715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6282.392857142857</v>
      </c>
      <c r="V261" s="180"/>
      <c r="W261" s="180">
        <v>8073.642857142857</v>
      </c>
      <c r="X261" s="180">
        <v>55785.03571428572</v>
      </c>
      <c r="Y261" s="180">
        <v>39109</v>
      </c>
      <c r="Z261" s="180">
        <v>5564.464285714285</v>
      </c>
      <c r="AA261" s="180">
        <v>318.25</v>
      </c>
      <c r="AB261" s="180">
        <v>62.642857142857146</v>
      </c>
      <c r="AC261" s="180">
        <v>1782.9642857142858</v>
      </c>
      <c r="AD261" s="180">
        <v>2910.214285714286</v>
      </c>
      <c r="AE261" s="180">
        <v>2210.535714285714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-6586.441244239599</v>
      </c>
    </row>
    <row r="262" spans="3:37" ht="12.75">
      <c r="C262" s="184">
        <f t="shared" si="22"/>
        <v>2015.2499915000126</v>
      </c>
      <c r="D262" s="173">
        <v>42064</v>
      </c>
      <c r="E262" s="179">
        <v>1393.032258064516</v>
      </c>
      <c r="F262" s="179">
        <v>356.8709677419355</v>
      </c>
      <c r="G262" s="179">
        <v>1333.3870967741937</v>
      </c>
      <c r="H262" s="179">
        <v>590.3548387096774</v>
      </c>
      <c r="I262" s="179">
        <v>173.03225806451613</v>
      </c>
      <c r="J262" s="263">
        <v>3401.6451612903224</v>
      </c>
      <c r="K262" s="264"/>
      <c r="L262" s="179">
        <v>190.16129032258064</v>
      </c>
      <c r="M262" s="179">
        <v>10335.838709677419</v>
      </c>
      <c r="N262" s="179"/>
      <c r="O262" s="179">
        <v>4209.612903225807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</v>
      </c>
      <c r="V262" s="180"/>
      <c r="W262" s="180">
        <v>10221.709677419354</v>
      </c>
      <c r="X262" s="180">
        <v>55341.967741935485</v>
      </c>
      <c r="Y262" s="180">
        <v>35016.22580645161</v>
      </c>
      <c r="Z262" s="180">
        <v>5793.967741935484</v>
      </c>
      <c r="AA262" s="180">
        <v>292.9032258064516</v>
      </c>
      <c r="AB262" s="180">
        <v>93.35483870967742</v>
      </c>
      <c r="AC262" s="180">
        <v>2016.8709677419354</v>
      </c>
      <c r="AD262" s="180">
        <v>757.6451612903226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</v>
      </c>
      <c r="H263" s="179">
        <v>335.1333333333333</v>
      </c>
      <c r="I263" s="179">
        <v>167.53333333333333</v>
      </c>
      <c r="J263" s="263">
        <v>3415.6666666666665</v>
      </c>
      <c r="K263" s="264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</v>
      </c>
      <c r="U263" s="180">
        <v>8839</v>
      </c>
      <c r="V263" s="180"/>
      <c r="W263" s="180">
        <v>10141.7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ht="12.75">
      <c r="C264" s="184">
        <f t="shared" si="22"/>
        <v>2015.4166581000127</v>
      </c>
      <c r="D264" s="173">
        <v>42125</v>
      </c>
      <c r="E264" s="179">
        <v>1351.225806451613</v>
      </c>
      <c r="F264" s="179">
        <v>380.64516129032256</v>
      </c>
      <c r="G264" s="179">
        <v>1346</v>
      </c>
      <c r="H264" s="179">
        <v>931.7741935483871</v>
      </c>
      <c r="I264" s="179">
        <v>195.19354838709677</v>
      </c>
      <c r="J264" s="263">
        <v>3440.967741935484</v>
      </c>
      <c r="K264" s="264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57.32258064516129</v>
      </c>
      <c r="R264" s="179">
        <v>19.129032258064516</v>
      </c>
      <c r="S264" s="179">
        <v>10967.032258064517</v>
      </c>
      <c r="T264" s="179">
        <v>4112.419354838709</v>
      </c>
      <c r="U264" s="179">
        <v>8068.903225806452</v>
      </c>
      <c r="V264" s="179"/>
      <c r="W264" s="179">
        <v>10294.451612903225</v>
      </c>
      <c r="X264" s="179">
        <v>41456.354838709674</v>
      </c>
      <c r="Y264" s="179">
        <v>22482.90322580645</v>
      </c>
      <c r="Z264" s="179">
        <v>3724.6129032258063</v>
      </c>
      <c r="AA264" s="179">
        <v>317.64516129032256</v>
      </c>
      <c r="AB264" s="179">
        <v>68.3225806451613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ht="12.75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63">
        <v>3394.3</v>
      </c>
      <c r="K265" s="264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80.33333333333333</v>
      </c>
      <c r="R265" s="179">
        <v>19.733333333333334</v>
      </c>
      <c r="S265" s="179">
        <v>11380.266666666666</v>
      </c>
      <c r="T265" s="179">
        <v>0</v>
      </c>
      <c r="U265" s="179">
        <v>7988.033333333334</v>
      </c>
      <c r="V265" s="179"/>
      <c r="W265" s="179">
        <v>9948</v>
      </c>
      <c r="X265" s="179">
        <v>52601.5</v>
      </c>
      <c r="Y265" s="179">
        <v>37407.63333333333</v>
      </c>
      <c r="Z265" s="179">
        <v>5834.033333333334</v>
      </c>
      <c r="AA265" s="179">
        <v>185.73333333333332</v>
      </c>
      <c r="AB265" s="179">
        <v>53.96666666666667</v>
      </c>
      <c r="AC265" s="179">
        <v>1819.3666666666666</v>
      </c>
      <c r="AD265" s="179">
        <v>956.3666666666667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ht="12.75">
      <c r="C266" s="184">
        <f t="shared" si="22"/>
        <v>2015.5833247000128</v>
      </c>
      <c r="D266" s="173">
        <v>42186</v>
      </c>
      <c r="E266" s="179">
        <v>1415.774193548387</v>
      </c>
      <c r="F266" s="179">
        <v>348.0967741935484</v>
      </c>
      <c r="G266" s="179">
        <v>1222.2903225806451</v>
      </c>
      <c r="H266" s="179">
        <v>628.0322580645161</v>
      </c>
      <c r="I266" s="179">
        <v>163.38709677419354</v>
      </c>
      <c r="J266" s="263">
        <v>3407.064516129032</v>
      </c>
      <c r="K266" s="264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61.61290322580645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</v>
      </c>
      <c r="X266" s="179">
        <v>48275.25806451613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</v>
      </c>
      <c r="AE266" s="179">
        <v>3797.032258064516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ht="12.75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641.8387096774194</v>
      </c>
      <c r="I267" s="179">
        <v>152.1290322580645</v>
      </c>
      <c r="J267" s="263">
        <v>3457.12903225806</v>
      </c>
      <c r="K267" s="264"/>
      <c r="L267" s="179">
        <v>271.6774193548387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</v>
      </c>
      <c r="Y267" s="180">
        <v>9016.322580645161</v>
      </c>
      <c r="Z267" s="180">
        <v>2366.032258064516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</v>
      </c>
      <c r="AE267" s="179">
        <v>4006.032258064516</v>
      </c>
      <c r="AF267" s="179"/>
      <c r="AG267" s="179"/>
      <c r="AH267" s="179"/>
      <c r="AI267" s="148">
        <f aca="true" t="shared" si="35" ref="AI267:AI274">SUM(E267:AH267)</f>
        <v>134295.70967741936</v>
      </c>
      <c r="AJ267" s="138">
        <f>+AJ266</f>
        <v>149405</v>
      </c>
      <c r="AK267" s="138">
        <f t="shared" si="34"/>
        <v>-8218.838709677395</v>
      </c>
    </row>
    <row r="268" spans="3:37" ht="12.75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</v>
      </c>
      <c r="I268" s="179">
        <v>156.8</v>
      </c>
      <c r="J268" s="263">
        <v>3365.76666666667</v>
      </c>
      <c r="K268" s="264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</v>
      </c>
      <c r="S268" s="179">
        <f>9492.36666666667+1300.23333333333</f>
        <v>10792.6</v>
      </c>
      <c r="T268" s="179">
        <v>7276.433333333333</v>
      </c>
      <c r="U268" s="179">
        <v>5481.9</v>
      </c>
      <c r="V268" s="179"/>
      <c r="W268" s="179">
        <v>4441.533333333334</v>
      </c>
      <c r="X268" s="180">
        <v>53443.333333333336</v>
      </c>
      <c r="Y268" s="180">
        <v>21087.933333333334</v>
      </c>
      <c r="Z268" s="180">
        <v>2572.8</v>
      </c>
      <c r="AA268" s="179">
        <v>365.03333333333336</v>
      </c>
      <c r="AB268" s="179">
        <v>124.93333333333334</v>
      </c>
      <c r="AC268" s="179">
        <v>1973.6</v>
      </c>
      <c r="AD268" s="179">
        <v>1077.9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806.7236559139856</v>
      </c>
    </row>
    <row r="269" spans="3:37" ht="12.75">
      <c r="C269" s="184">
        <f t="shared" si="22"/>
        <v>2015.833324600013</v>
      </c>
      <c r="D269" s="173">
        <v>42278</v>
      </c>
      <c r="E269" s="179">
        <v>1323.2903225806451</v>
      </c>
      <c r="F269" s="179">
        <v>360.0967741935484</v>
      </c>
      <c r="G269" s="179">
        <v>1172.258064516129</v>
      </c>
      <c r="H269" s="179">
        <v>637.1290322580645</v>
      </c>
      <c r="I269" s="179">
        <v>151.2258064516129</v>
      </c>
      <c r="J269" s="263">
        <v>3472.967741935484</v>
      </c>
      <c r="K269" s="264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66.64516129032258</v>
      </c>
      <c r="R269" s="179">
        <v>19.774193548387096</v>
      </c>
      <c r="S269" s="179">
        <v>10558.2580645161</v>
      </c>
      <c r="T269" s="179">
        <v>2574.967741935484</v>
      </c>
      <c r="U269" s="179">
        <v>6749.225806451613</v>
      </c>
      <c r="V269" s="179">
        <v>9436.225806451614</v>
      </c>
      <c r="W269" s="179">
        <v>678</v>
      </c>
      <c r="X269" s="180">
        <v>51913.032258064515</v>
      </c>
      <c r="Y269" s="180">
        <v>36384.06451612903</v>
      </c>
      <c r="Z269" s="180">
        <v>5325.129032258064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ht="12.75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63">
        <v>3349.4</v>
      </c>
      <c r="K270" s="264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</v>
      </c>
      <c r="V270" s="179">
        <v>8981.633333333333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</v>
      </c>
      <c r="AB270" s="179">
        <v>123.06666666666666</v>
      </c>
      <c r="AC270" s="179">
        <v>1756.03333333333</v>
      </c>
      <c r="AD270" s="180">
        <v>1779.8333333333333</v>
      </c>
      <c r="AE270" s="180">
        <v>3929.133333333333</v>
      </c>
      <c r="AF270" s="179"/>
      <c r="AG270" s="179"/>
      <c r="AH270" s="179"/>
      <c r="AI270" s="148">
        <f t="shared" si="35"/>
        <v>154074.7666666667</v>
      </c>
      <c r="AJ270" s="138">
        <f t="shared" si="33"/>
        <v>149405</v>
      </c>
      <c r="AK270" s="138">
        <f>+AI270-AI269</f>
        <v>747.3150537635374</v>
      </c>
    </row>
    <row r="271" spans="3:37" ht="12.75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</v>
      </c>
      <c r="I271" s="179">
        <v>133.74193548387098</v>
      </c>
      <c r="J271" s="263">
        <v>3288.8709677419356</v>
      </c>
      <c r="K271" s="264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</v>
      </c>
      <c r="R271" s="179">
        <v>18.258064516129032</v>
      </c>
      <c r="S271" s="179">
        <f>8918.58064516129+1190.677419</f>
        <v>10109.25806416129</v>
      </c>
      <c r="T271" s="179">
        <v>4617.193548387097</v>
      </c>
      <c r="U271" s="179">
        <v>7547.387096774193</v>
      </c>
      <c r="V271" s="179">
        <v>10184.41935483871</v>
      </c>
      <c r="W271" s="191" t="s">
        <v>37</v>
      </c>
      <c r="X271" s="179">
        <v>54585.12903225807</v>
      </c>
      <c r="Y271" s="179">
        <v>39603.032258064515</v>
      </c>
      <c r="Z271" s="179">
        <v>4693.129032258064</v>
      </c>
      <c r="AA271" s="179">
        <v>136.19354838709677</v>
      </c>
      <c r="AB271" s="179">
        <v>33.12903225806452</v>
      </c>
      <c r="AC271" s="179">
        <v>1890.774193548387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</v>
      </c>
    </row>
    <row r="272" spans="3:37" s="204" customFormat="1" ht="12.75">
      <c r="C272" s="198">
        <f aca="true" t="shared" si="36" ref="C272:C298">+C271+0.0833333</f>
        <v>2016.083324500013</v>
      </c>
      <c r="D272" s="199">
        <v>42370</v>
      </c>
      <c r="E272" s="200">
        <v>1119.225806451613</v>
      </c>
      <c r="F272" s="200">
        <v>353.2903225806452</v>
      </c>
      <c r="G272" s="200">
        <v>1007.7741935483871</v>
      </c>
      <c r="H272" s="200">
        <v>663.6451612903226</v>
      </c>
      <c r="I272" s="200">
        <v>127.87096774193549</v>
      </c>
      <c r="J272" s="267">
        <v>3243.32258064516</v>
      </c>
      <c r="K272" s="268"/>
      <c r="L272" s="200">
        <v>164.3548387096774</v>
      </c>
      <c r="M272" s="200">
        <v>11046.41935483871</v>
      </c>
      <c r="N272" s="200"/>
      <c r="O272" s="200">
        <v>4035.4193548387098</v>
      </c>
      <c r="P272" s="200"/>
      <c r="Q272" s="200">
        <v>53.903225806451616</v>
      </c>
      <c r="R272" s="200">
        <v>17.64516129032258</v>
      </c>
      <c r="S272" s="200">
        <v>9665</v>
      </c>
      <c r="T272" s="200">
        <v>2502</v>
      </c>
      <c r="U272" s="200">
        <v>6800</v>
      </c>
      <c r="V272" s="200">
        <v>9431.677419354839</v>
      </c>
      <c r="W272" s="201" t="s">
        <v>37</v>
      </c>
      <c r="X272" s="200">
        <v>30728.935483870966</v>
      </c>
      <c r="Y272" s="200">
        <v>21960.90322580645</v>
      </c>
      <c r="Z272" s="200">
        <v>3946.2903225806454</v>
      </c>
      <c r="AA272" s="200">
        <v>356.83870967741933</v>
      </c>
      <c r="AB272" s="200">
        <v>74.48387096774194</v>
      </c>
      <c r="AC272" s="200">
        <v>1865.967741935484</v>
      </c>
      <c r="AD272" s="200">
        <v>337.96774193548384</v>
      </c>
      <c r="AE272" s="200">
        <v>1483.4516129032259</v>
      </c>
      <c r="AF272" s="200"/>
      <c r="AG272" s="200"/>
      <c r="AH272" s="200"/>
      <c r="AI272" s="202">
        <f>SUM(E272:AH272)</f>
        <v>110986.38709677421</v>
      </c>
      <c r="AJ272" s="203">
        <v>135096</v>
      </c>
      <c r="AK272" s="203">
        <f>+AI272-AI271</f>
        <v>-50095.12903190323</v>
      </c>
    </row>
    <row r="273" spans="3:37" s="204" customFormat="1" ht="12.75">
      <c r="C273" s="198">
        <f t="shared" si="36"/>
        <v>2016.1666578000131</v>
      </c>
      <c r="D273" s="199">
        <v>42401</v>
      </c>
      <c r="E273" s="200">
        <v>1102.9310344827586</v>
      </c>
      <c r="F273" s="200">
        <v>322.7931034482759</v>
      </c>
      <c r="G273" s="200">
        <v>1008.9310344827586</v>
      </c>
      <c r="H273" s="200">
        <v>620.2068965517242</v>
      </c>
      <c r="I273" s="200">
        <v>133.3448275862069</v>
      </c>
      <c r="J273" s="267">
        <v>3242.896551724138</v>
      </c>
      <c r="K273" s="268">
        <v>0</v>
      </c>
      <c r="L273" s="200">
        <v>183.44827586206895</v>
      </c>
      <c r="M273" s="200">
        <v>10945.931034482759</v>
      </c>
      <c r="N273" s="200"/>
      <c r="O273" s="200">
        <v>3794.793103448276</v>
      </c>
      <c r="P273" s="200"/>
      <c r="Q273" s="200">
        <v>51.206896551724135</v>
      </c>
      <c r="R273" s="200">
        <v>16.137931034482758</v>
      </c>
      <c r="S273" s="200">
        <v>9842.931034482759</v>
      </c>
      <c r="T273" s="200">
        <v>3873.896551724138</v>
      </c>
      <c r="U273" s="200">
        <v>7572.896551724138</v>
      </c>
      <c r="V273" s="200">
        <v>4223.896551724138</v>
      </c>
      <c r="W273" s="201"/>
      <c r="X273" s="200">
        <v>55195.96551724138</v>
      </c>
      <c r="Y273" s="200">
        <v>24998.137931034482</v>
      </c>
      <c r="Z273" s="200">
        <v>2003.7586206896551</v>
      </c>
      <c r="AA273" s="200">
        <v>194</v>
      </c>
      <c r="AB273" s="200">
        <v>72.48275862068965</v>
      </c>
      <c r="AC273" s="200">
        <v>1502</v>
      </c>
      <c r="AD273" s="200">
        <v>565.4137931034483</v>
      </c>
      <c r="AE273" s="200">
        <v>66.58620689655173</v>
      </c>
      <c r="AF273" s="205"/>
      <c r="AG273" s="205"/>
      <c r="AH273" s="205"/>
      <c r="AI273" s="202">
        <f t="shared" si="35"/>
        <v>131534.58620689652</v>
      </c>
      <c r="AJ273" s="206">
        <f>+AJ272</f>
        <v>135096</v>
      </c>
      <c r="AK273" s="203">
        <f aca="true" t="shared" si="37" ref="AK273:AK287">+AI273-AI272</f>
        <v>20548.19911012231</v>
      </c>
    </row>
    <row r="274" spans="3:37" s="208" customFormat="1" ht="12.75">
      <c r="C274" s="198">
        <f t="shared" si="36"/>
        <v>2016.2499911000132</v>
      </c>
      <c r="D274" s="199">
        <v>42430</v>
      </c>
      <c r="E274" s="200">
        <v>1056.3225806451612</v>
      </c>
      <c r="F274" s="200">
        <v>295.93548387096774</v>
      </c>
      <c r="G274" s="200">
        <v>768.258064516129</v>
      </c>
      <c r="H274" s="200">
        <v>598.3225806451613</v>
      </c>
      <c r="I274" s="200">
        <v>118.51612903225806</v>
      </c>
      <c r="J274" s="267">
        <v>2940.90322580645</v>
      </c>
      <c r="K274" s="268"/>
      <c r="L274" s="200">
        <v>213.09677419354838</v>
      </c>
      <c r="M274" s="200">
        <v>10465.741935483871</v>
      </c>
      <c r="N274" s="200"/>
      <c r="O274" s="200">
        <v>4093.032258064516</v>
      </c>
      <c r="P274" s="200"/>
      <c r="Q274" s="200">
        <v>52.96774193548387</v>
      </c>
      <c r="R274" s="200">
        <v>14.064516129032258</v>
      </c>
      <c r="S274" s="200">
        <v>9719.58064516129</v>
      </c>
      <c r="T274" s="200">
        <v>2992.3870967741937</v>
      </c>
      <c r="U274" s="200">
        <v>6006.612903225807</v>
      </c>
      <c r="V274" s="200">
        <v>0</v>
      </c>
      <c r="W274" s="201"/>
      <c r="X274" s="200">
        <v>48012.12903225807</v>
      </c>
      <c r="Y274" s="200">
        <v>39933</v>
      </c>
      <c r="Z274" s="200">
        <v>6135.677419354839</v>
      </c>
      <c r="AA274" s="200">
        <v>182.25806451612902</v>
      </c>
      <c r="AB274" s="200">
        <v>56.67741935483871</v>
      </c>
      <c r="AC274" s="200">
        <v>1820.6774193548388</v>
      </c>
      <c r="AD274" s="200">
        <v>963.7096774193549</v>
      </c>
      <c r="AE274" s="200">
        <v>0</v>
      </c>
      <c r="AF274" s="207"/>
      <c r="AG274" s="207"/>
      <c r="AH274" s="207"/>
      <c r="AI274" s="202">
        <f t="shared" si="35"/>
        <v>136439.87096774197</v>
      </c>
      <c r="AJ274" s="206">
        <f>+AJ273</f>
        <v>135096</v>
      </c>
      <c r="AK274" s="203">
        <f t="shared" si="37"/>
        <v>4905.284760845447</v>
      </c>
    </row>
    <row r="275" spans="3:39" s="208" customFormat="1" ht="12.75">
      <c r="C275" s="198">
        <f t="shared" si="36"/>
        <v>2016.3333244000132</v>
      </c>
      <c r="D275" s="199">
        <v>42461</v>
      </c>
      <c r="E275" s="200">
        <v>1028.7</v>
      </c>
      <c r="F275" s="200">
        <v>314.56666666666666</v>
      </c>
      <c r="G275" s="200">
        <v>1008.3666666666667</v>
      </c>
      <c r="H275" s="200">
        <v>596.3</v>
      </c>
      <c r="I275" s="200">
        <v>123.7</v>
      </c>
      <c r="J275" s="267">
        <v>3179.33333333333</v>
      </c>
      <c r="K275" s="268"/>
      <c r="L275" s="200">
        <v>220.76666666666668</v>
      </c>
      <c r="M275" s="200">
        <v>10810.3</v>
      </c>
      <c r="N275" s="200"/>
      <c r="O275" s="200">
        <v>3951.9666666666667</v>
      </c>
      <c r="P275" s="200"/>
      <c r="Q275" s="200">
        <v>50.4</v>
      </c>
      <c r="R275" s="200">
        <v>13.6</v>
      </c>
      <c r="S275" s="200">
        <v>9401.166666666666</v>
      </c>
      <c r="T275" s="200">
        <v>3353.4</v>
      </c>
      <c r="U275" s="200">
        <v>5271.2</v>
      </c>
      <c r="V275" s="200">
        <v>0</v>
      </c>
      <c r="W275" s="201"/>
      <c r="X275" s="200">
        <v>54283.03333333333</v>
      </c>
      <c r="Y275" s="200">
        <v>36841.23333333333</v>
      </c>
      <c r="Z275" s="200">
        <v>7608.3</v>
      </c>
      <c r="AA275" s="200">
        <v>113.13333333333334</v>
      </c>
      <c r="AB275" s="200">
        <v>0</v>
      </c>
      <c r="AC275" s="200">
        <v>1819.3</v>
      </c>
      <c r="AD275" s="200">
        <v>491.8</v>
      </c>
      <c r="AE275" s="200">
        <v>1705.2666666666667</v>
      </c>
      <c r="AF275" s="207"/>
      <c r="AG275" s="207"/>
      <c r="AH275" s="207"/>
      <c r="AI275" s="202">
        <f>SUM(E275:AH275)</f>
        <v>142185.83333333328</v>
      </c>
      <c r="AJ275" s="206">
        <f aca="true" t="shared" si="38" ref="AJ275:AJ283">+AJ274</f>
        <v>135096</v>
      </c>
      <c r="AK275" s="203">
        <f t="shared" si="37"/>
        <v>5745.9623655913165</v>
      </c>
      <c r="AM275" s="209"/>
    </row>
    <row r="276" spans="3:37" s="208" customFormat="1" ht="12.75">
      <c r="C276" s="198">
        <f t="shared" si="36"/>
        <v>2016.4166577000133</v>
      </c>
      <c r="D276" s="199">
        <v>42491</v>
      </c>
      <c r="E276" s="200">
        <v>1043.8387096774193</v>
      </c>
      <c r="F276" s="200">
        <v>339.7741935483871</v>
      </c>
      <c r="G276" s="200">
        <v>975.258064516129</v>
      </c>
      <c r="H276" s="200">
        <v>601.0322580645161</v>
      </c>
      <c r="I276" s="200">
        <v>128.74193548387098</v>
      </c>
      <c r="J276" s="267">
        <v>3165.16129032258</v>
      </c>
      <c r="K276" s="268"/>
      <c r="L276" s="200">
        <v>184.90322580645162</v>
      </c>
      <c r="M276" s="200">
        <v>10743.064516129032</v>
      </c>
      <c r="N276" s="200"/>
      <c r="O276" s="200">
        <v>3888.9032258064517</v>
      </c>
      <c r="P276" s="200"/>
      <c r="Q276" s="200">
        <v>50.70967741935484</v>
      </c>
      <c r="R276" s="200">
        <v>15.741935483870968</v>
      </c>
      <c r="S276" s="200">
        <v>9326.935483870968</v>
      </c>
      <c r="T276" s="200">
        <v>2876.516129032258</v>
      </c>
      <c r="U276" s="200">
        <v>6048.774193548387</v>
      </c>
      <c r="V276" s="200">
        <v>0</v>
      </c>
      <c r="W276" s="201"/>
      <c r="X276" s="200">
        <v>55623.25806451613</v>
      </c>
      <c r="Y276" s="200">
        <v>33996.48387096774</v>
      </c>
      <c r="Z276" s="200">
        <v>11789.129032258064</v>
      </c>
      <c r="AA276" s="200">
        <v>13.548387096774194</v>
      </c>
      <c r="AB276" s="200">
        <v>41.70967741935484</v>
      </c>
      <c r="AC276" s="200">
        <v>1061</v>
      </c>
      <c r="AD276" s="200">
        <v>1937.9354838709678</v>
      </c>
      <c r="AE276" s="200">
        <v>2608.9032258064517</v>
      </c>
      <c r="AF276" s="207"/>
      <c r="AG276" s="207"/>
      <c r="AH276" s="207"/>
      <c r="AI276" s="202">
        <f>SUM(E276:AH276)</f>
        <v>146461.32258064518</v>
      </c>
      <c r="AJ276" s="206">
        <f t="shared" si="38"/>
        <v>135096</v>
      </c>
      <c r="AK276" s="203">
        <f t="shared" si="37"/>
        <v>4275.489247311896</v>
      </c>
    </row>
    <row r="277" spans="3:37" s="214" customFormat="1" ht="12.75">
      <c r="C277" s="198">
        <f t="shared" si="36"/>
        <v>2016.4999910000133</v>
      </c>
      <c r="D277" s="210">
        <v>42522</v>
      </c>
      <c r="E277" s="211">
        <v>1008.8333333333334</v>
      </c>
      <c r="F277" s="211">
        <v>328.9</v>
      </c>
      <c r="G277" s="211">
        <v>1006.2333333333333</v>
      </c>
      <c r="H277" s="211">
        <v>607.3</v>
      </c>
      <c r="I277" s="211">
        <v>128.36666666666667</v>
      </c>
      <c r="J277" s="267">
        <v>3254.866666666667</v>
      </c>
      <c r="K277" s="268"/>
      <c r="L277" s="211">
        <v>192.66666666666666</v>
      </c>
      <c r="M277" s="211">
        <v>10732.333333333334</v>
      </c>
      <c r="N277" s="211"/>
      <c r="O277" s="211">
        <v>3616.4</v>
      </c>
      <c r="P277" s="211"/>
      <c r="Q277" s="211">
        <v>48.266666666666666</v>
      </c>
      <c r="R277" s="211">
        <v>17.433333333333334</v>
      </c>
      <c r="S277" s="211">
        <v>9383.566666666668</v>
      </c>
      <c r="T277" s="211">
        <v>0</v>
      </c>
      <c r="U277" s="211">
        <v>4673.333333333333</v>
      </c>
      <c r="V277" s="211">
        <v>0</v>
      </c>
      <c r="W277" s="211"/>
      <c r="X277" s="211">
        <v>52875.166666666664</v>
      </c>
      <c r="Y277" s="211">
        <v>30062.7</v>
      </c>
      <c r="Z277" s="211">
        <v>9357.333333333334</v>
      </c>
      <c r="AA277" s="211">
        <v>59.3</v>
      </c>
      <c r="AB277" s="211">
        <v>0</v>
      </c>
      <c r="AC277" s="211">
        <v>1055.5666666666666</v>
      </c>
      <c r="AD277" s="211">
        <v>0</v>
      </c>
      <c r="AE277" s="211">
        <v>2864.3333333333335</v>
      </c>
      <c r="AF277" s="212"/>
      <c r="AG277" s="212"/>
      <c r="AH277" s="212"/>
      <c r="AI277" s="213">
        <f>SUM(E277:AH277)</f>
        <v>131272.9</v>
      </c>
      <c r="AJ277" s="206">
        <f t="shared" si="38"/>
        <v>135096</v>
      </c>
      <c r="AK277" s="206">
        <f>+AI277-AI276</f>
        <v>-15188.422580645187</v>
      </c>
    </row>
    <row r="278" spans="3:37" s="214" customFormat="1" ht="12.75">
      <c r="C278" s="198">
        <f t="shared" si="36"/>
        <v>2016.5833243000134</v>
      </c>
      <c r="D278" s="210">
        <v>42552</v>
      </c>
      <c r="E278" s="211">
        <v>1008.1935483870968</v>
      </c>
      <c r="F278" s="211">
        <v>308.35483870967744</v>
      </c>
      <c r="G278" s="211">
        <v>967.7741935483871</v>
      </c>
      <c r="H278" s="211">
        <v>637.6451612903226</v>
      </c>
      <c r="I278" s="211">
        <v>134.16129032258064</v>
      </c>
      <c r="J278" s="267">
        <v>3235.8387096774195</v>
      </c>
      <c r="K278" s="268"/>
      <c r="L278" s="211">
        <v>179.93548387096774</v>
      </c>
      <c r="M278" s="211">
        <v>10581.193548387097</v>
      </c>
      <c r="N278" s="211"/>
      <c r="O278" s="211">
        <v>3546.548387096774</v>
      </c>
      <c r="P278" s="211"/>
      <c r="Q278" s="211">
        <v>46.03225806451613</v>
      </c>
      <c r="R278" s="211">
        <v>15.870967741935484</v>
      </c>
      <c r="S278" s="211">
        <v>9072.290322580646</v>
      </c>
      <c r="T278" s="211">
        <v>4514.8387096774195</v>
      </c>
      <c r="U278" s="211">
        <v>6118.709677419355</v>
      </c>
      <c r="V278" s="211">
        <v>0</v>
      </c>
      <c r="W278" s="211"/>
      <c r="X278" s="211">
        <v>53051.45161290323</v>
      </c>
      <c r="Y278" s="211">
        <v>34124.354838709674</v>
      </c>
      <c r="Z278" s="211">
        <v>11687.709677419354</v>
      </c>
      <c r="AA278" s="211">
        <v>62.41935483870968</v>
      </c>
      <c r="AB278" s="211">
        <v>50.45161290322581</v>
      </c>
      <c r="AC278" s="211">
        <v>729.0645161290323</v>
      </c>
      <c r="AD278" s="211">
        <v>0</v>
      </c>
      <c r="AE278" s="211">
        <v>2983.2903225806454</v>
      </c>
      <c r="AF278" s="212"/>
      <c r="AG278" s="212"/>
      <c r="AH278" s="212"/>
      <c r="AI278" s="213">
        <f>SUM(E278:AH278)</f>
        <v>143056.12903225803</v>
      </c>
      <c r="AJ278" s="206">
        <f t="shared" si="38"/>
        <v>135096</v>
      </c>
      <c r="AK278" s="206">
        <f>+AI278-AI277</f>
        <v>11783.229032258037</v>
      </c>
    </row>
    <row r="279" spans="3:37" s="214" customFormat="1" ht="12.75">
      <c r="C279" s="198">
        <f t="shared" si="36"/>
        <v>2016.6666576000134</v>
      </c>
      <c r="D279" s="210">
        <v>42583</v>
      </c>
      <c r="E279" s="211">
        <v>1096.1935483870968</v>
      </c>
      <c r="F279" s="211">
        <v>303.38709677419354</v>
      </c>
      <c r="G279" s="211">
        <v>935.741935483871</v>
      </c>
      <c r="H279" s="211">
        <v>615.8387096774194</v>
      </c>
      <c r="I279" s="211">
        <v>126.19354838709677</v>
      </c>
      <c r="J279" s="215">
        <v>3181.3225806451615</v>
      </c>
      <c r="K279" s="216"/>
      <c r="L279" s="211">
        <v>183.41935483870967</v>
      </c>
      <c r="M279" s="211">
        <v>10651.322580645161</v>
      </c>
      <c r="N279" s="211"/>
      <c r="O279" s="211">
        <v>3682.5806451612902</v>
      </c>
      <c r="P279" s="211"/>
      <c r="Q279" s="211">
        <v>47.193548387096776</v>
      </c>
      <c r="R279" s="211">
        <v>14.451612903225806</v>
      </c>
      <c r="S279" s="211">
        <v>9502.225806451614</v>
      </c>
      <c r="T279" s="211">
        <v>2827.548387096774</v>
      </c>
      <c r="U279" s="211">
        <v>6092.4838709677415</v>
      </c>
      <c r="V279" s="211">
        <v>0</v>
      </c>
      <c r="W279" s="217"/>
      <c r="X279" s="211">
        <v>53724.77419354839</v>
      </c>
      <c r="Y279" s="211">
        <v>34606.032258064515</v>
      </c>
      <c r="Z279" s="211">
        <v>11677.032258064517</v>
      </c>
      <c r="AA279" s="211">
        <v>52.96774193548387</v>
      </c>
      <c r="AB279" s="211">
        <v>51.58064516129032</v>
      </c>
      <c r="AC279" s="211">
        <v>1006.258064516129</v>
      </c>
      <c r="AD279" s="211">
        <v>0</v>
      </c>
      <c r="AE279" s="211">
        <v>3087.6129032258063</v>
      </c>
      <c r="AF279" s="212"/>
      <c r="AG279" s="212"/>
      <c r="AH279" s="212"/>
      <c r="AI279" s="213">
        <f>SUM(E279:AH279)</f>
        <v>143466.1612903226</v>
      </c>
      <c r="AJ279" s="206">
        <f t="shared" si="38"/>
        <v>135096</v>
      </c>
      <c r="AK279" s="206">
        <f t="shared" si="37"/>
        <v>410.0322580645734</v>
      </c>
    </row>
    <row r="280" spans="3:37" s="214" customFormat="1" ht="12.75">
      <c r="C280" s="198">
        <f t="shared" si="36"/>
        <v>2016.7499909000135</v>
      </c>
      <c r="D280" s="210">
        <v>42614</v>
      </c>
      <c r="E280" s="211">
        <v>1072.4</v>
      </c>
      <c r="F280" s="211">
        <v>273.7</v>
      </c>
      <c r="G280" s="211">
        <v>943.3666666666667</v>
      </c>
      <c r="H280" s="211">
        <v>601.6333333333333</v>
      </c>
      <c r="I280" s="211">
        <v>124.46666666666667</v>
      </c>
      <c r="J280" s="224">
        <v>3168.6</v>
      </c>
      <c r="K280" s="225"/>
      <c r="L280" s="211">
        <v>185</v>
      </c>
      <c r="M280" s="211">
        <v>10746.466666666667</v>
      </c>
      <c r="N280" s="211"/>
      <c r="O280" s="211">
        <v>3482.3</v>
      </c>
      <c r="P280" s="211"/>
      <c r="Q280" s="211">
        <v>45.36666666666667</v>
      </c>
      <c r="R280" s="211">
        <v>14.033333333333333</v>
      </c>
      <c r="S280" s="211">
        <v>9208.466666666667</v>
      </c>
      <c r="T280" s="211">
        <v>2902.3333333333335</v>
      </c>
      <c r="U280" s="211">
        <v>0</v>
      </c>
      <c r="V280" s="211">
        <v>0</v>
      </c>
      <c r="W280" s="217"/>
      <c r="X280" s="211">
        <v>45180.13333333333</v>
      </c>
      <c r="Y280" s="211">
        <v>36006.26666666667</v>
      </c>
      <c r="Z280" s="211">
        <v>10151.233333333334</v>
      </c>
      <c r="AA280" s="211">
        <v>52.666666666666664</v>
      </c>
      <c r="AB280" s="211">
        <v>47.766666666666666</v>
      </c>
      <c r="AC280" s="211">
        <v>1307.2</v>
      </c>
      <c r="AD280" s="211">
        <v>0</v>
      </c>
      <c r="AE280" s="211">
        <v>2983.866666666667</v>
      </c>
      <c r="AF280" s="212"/>
      <c r="AG280" s="212"/>
      <c r="AH280" s="212"/>
      <c r="AI280" s="213">
        <f>SUM(E280:AH280)</f>
        <v>128497.26666666666</v>
      </c>
      <c r="AJ280" s="206">
        <f t="shared" si="38"/>
        <v>135096</v>
      </c>
      <c r="AK280" s="206">
        <f t="shared" si="37"/>
        <v>-14968.894623655942</v>
      </c>
    </row>
    <row r="281" spans="3:37" s="208" customFormat="1" ht="12.75">
      <c r="C281" s="198">
        <f t="shared" si="36"/>
        <v>2016.8333242000135</v>
      </c>
      <c r="D281" s="199">
        <v>42644</v>
      </c>
      <c r="E281" s="200">
        <v>1023.0967741935484</v>
      </c>
      <c r="F281" s="200">
        <v>318.3225806451613</v>
      </c>
      <c r="G281" s="200">
        <v>936.8064516129032</v>
      </c>
      <c r="H281" s="200">
        <v>609.483870967742</v>
      </c>
      <c r="I281" s="200">
        <v>135</v>
      </c>
      <c r="J281" s="218">
        <v>3232.1290322580644</v>
      </c>
      <c r="K281" s="219"/>
      <c r="L281" s="200">
        <v>193.4516129032258</v>
      </c>
      <c r="M281" s="200">
        <v>10927.838709677419</v>
      </c>
      <c r="N281" s="200"/>
      <c r="O281" s="200">
        <v>3186.8064516129034</v>
      </c>
      <c r="P281" s="200"/>
      <c r="Q281" s="200">
        <v>43.935483870967744</v>
      </c>
      <c r="R281" s="200">
        <v>13.419354838709678</v>
      </c>
      <c r="S281" s="200">
        <v>9853.354838709678</v>
      </c>
      <c r="T281" s="200">
        <v>2743.7419354838707</v>
      </c>
      <c r="U281" s="200">
        <v>0</v>
      </c>
      <c r="V281" s="200">
        <v>0</v>
      </c>
      <c r="W281" s="201"/>
      <c r="X281" s="200">
        <v>49353.12903225807</v>
      </c>
      <c r="Y281" s="200">
        <v>34508.032258064515</v>
      </c>
      <c r="Z281" s="200">
        <v>10156.774193548386</v>
      </c>
      <c r="AA281" s="200">
        <v>79.09677419354838</v>
      </c>
      <c r="AB281" s="200">
        <v>40.58064516129032</v>
      </c>
      <c r="AC281" s="200">
        <v>1498.774193548387</v>
      </c>
      <c r="AD281" s="200">
        <v>0</v>
      </c>
      <c r="AE281" s="200">
        <v>3024.8387096774195</v>
      </c>
      <c r="AF281" s="207"/>
      <c r="AG281" s="207"/>
      <c r="AH281" s="207"/>
      <c r="AI281" s="213">
        <f>SUM(E281:AH281)</f>
        <v>131878.6129032258</v>
      </c>
      <c r="AJ281" s="206">
        <f t="shared" si="38"/>
        <v>135096</v>
      </c>
      <c r="AK281" s="206">
        <f>+AI281-AI280</f>
        <v>3381.346236559126</v>
      </c>
    </row>
    <row r="282" spans="3:37" s="208" customFormat="1" ht="12.75">
      <c r="C282" s="198">
        <f t="shared" si="36"/>
        <v>2016.9166575000136</v>
      </c>
      <c r="D282" s="199">
        <v>42675</v>
      </c>
      <c r="E282" s="200">
        <v>988.9</v>
      </c>
      <c r="F282" s="200">
        <v>326.03333333333336</v>
      </c>
      <c r="G282" s="200">
        <v>937.8</v>
      </c>
      <c r="H282" s="200">
        <v>627.8</v>
      </c>
      <c r="I282" s="200">
        <v>133.96666666666667</v>
      </c>
      <c r="J282" s="218">
        <v>3265.8</v>
      </c>
      <c r="K282" s="219"/>
      <c r="L282" s="200">
        <v>187.06666666666666</v>
      </c>
      <c r="M282" s="200">
        <v>11001.1</v>
      </c>
      <c r="N282" s="200"/>
      <c r="O282" s="200">
        <v>3104.266666666667</v>
      </c>
      <c r="P282" s="200"/>
      <c r="Q282" s="200">
        <v>45.666666666666664</v>
      </c>
      <c r="R282" s="200">
        <v>12.166666666666666</v>
      </c>
      <c r="S282" s="200">
        <v>9940.933333333332</v>
      </c>
      <c r="T282" s="200">
        <v>2642.866666666667</v>
      </c>
      <c r="U282" s="200">
        <v>0</v>
      </c>
      <c r="V282" s="200">
        <v>0</v>
      </c>
      <c r="W282" s="201"/>
      <c r="X282" s="200">
        <v>52816.86666666667</v>
      </c>
      <c r="Y282" s="200">
        <v>36082.86666666667</v>
      </c>
      <c r="Z282" s="200">
        <v>10601.8</v>
      </c>
      <c r="AA282" s="200">
        <v>63.96666666666667</v>
      </c>
      <c r="AB282" s="200">
        <v>43.13333333333333</v>
      </c>
      <c r="AC282" s="200">
        <v>996.8</v>
      </c>
      <c r="AD282" s="200">
        <v>0</v>
      </c>
      <c r="AE282" s="200">
        <v>3060.9</v>
      </c>
      <c r="AF282" s="207"/>
      <c r="AG282" s="207"/>
      <c r="AH282" s="207"/>
      <c r="AI282" s="213">
        <f>SUM(E282:AH282)</f>
        <v>136880.69999999998</v>
      </c>
      <c r="AJ282" s="206">
        <f t="shared" si="38"/>
        <v>135096</v>
      </c>
      <c r="AK282" s="203">
        <f t="shared" si="37"/>
        <v>5002.087096774194</v>
      </c>
    </row>
    <row r="283" spans="3:37" s="204" customFormat="1" ht="12.75">
      <c r="C283" s="198">
        <f t="shared" si="36"/>
        <v>2016.9999908000136</v>
      </c>
      <c r="D283" s="199">
        <v>42705</v>
      </c>
      <c r="E283" s="200">
        <v>954.1935483870968</v>
      </c>
      <c r="F283" s="200">
        <v>320.64516129032256</v>
      </c>
      <c r="G283" s="200">
        <v>910.4193548387096</v>
      </c>
      <c r="H283" s="200">
        <v>845.6129032258065</v>
      </c>
      <c r="I283" s="200">
        <v>124.7741935483871</v>
      </c>
      <c r="J283" s="218">
        <v>3332.7419354838707</v>
      </c>
      <c r="K283" s="219"/>
      <c r="L283" s="200">
        <v>184.67741935483872</v>
      </c>
      <c r="M283" s="200">
        <v>10603.967741935483</v>
      </c>
      <c r="N283" s="200"/>
      <c r="O283" s="200">
        <v>3503.3548387096776</v>
      </c>
      <c r="P283" s="200"/>
      <c r="Q283" s="200">
        <v>41.54838709677419</v>
      </c>
      <c r="R283" s="200">
        <v>13.161290322580646</v>
      </c>
      <c r="S283" s="200">
        <v>9530.322580645161</v>
      </c>
      <c r="T283" s="200">
        <v>2205.1290322580644</v>
      </c>
      <c r="U283" s="200">
        <v>3879.064516129032</v>
      </c>
      <c r="V283" s="200">
        <v>0</v>
      </c>
      <c r="W283" s="201"/>
      <c r="X283" s="200">
        <v>51973.645161290326</v>
      </c>
      <c r="Y283" s="200">
        <v>36020</v>
      </c>
      <c r="Z283" s="200">
        <v>9918.806451612903</v>
      </c>
      <c r="AA283" s="200">
        <v>32.774193548387096</v>
      </c>
      <c r="AB283" s="200">
        <v>41.645161290322584</v>
      </c>
      <c r="AC283" s="200">
        <v>818.3870967741935</v>
      </c>
      <c r="AD283" s="200">
        <v>0</v>
      </c>
      <c r="AE283" s="200">
        <v>2952.9032258064517</v>
      </c>
      <c r="AF283" s="205"/>
      <c r="AG283" s="205"/>
      <c r="AH283" s="205"/>
      <c r="AI283" s="213">
        <f>SUM(E283:AH283)</f>
        <v>138207.7741935484</v>
      </c>
      <c r="AJ283" s="206">
        <f t="shared" si="38"/>
        <v>135096</v>
      </c>
      <c r="AK283" s="203">
        <f t="shared" si="37"/>
        <v>1327.0741935484111</v>
      </c>
    </row>
    <row r="284" spans="3:38" s="228" customFormat="1" ht="12.75">
      <c r="C284" s="226">
        <f t="shared" si="36"/>
        <v>2017.0833241000137</v>
      </c>
      <c r="D284" s="227">
        <v>42736</v>
      </c>
      <c r="E284" s="230">
        <v>921.3548387096774</v>
      </c>
      <c r="F284" s="230">
        <v>308.16129032258067</v>
      </c>
      <c r="G284" s="230">
        <v>922.4193548387096</v>
      </c>
      <c r="H284" s="230">
        <v>1435.774193548387</v>
      </c>
      <c r="I284" s="230">
        <v>120.38709677419355</v>
      </c>
      <c r="J284" s="230">
        <v>3369.3870967741937</v>
      </c>
      <c r="K284" s="230"/>
      <c r="L284" s="230">
        <v>179.38709677419354</v>
      </c>
      <c r="M284" s="230">
        <v>11187.451612903225</v>
      </c>
      <c r="N284" s="230"/>
      <c r="O284" s="230">
        <v>3535.7096774193546</v>
      </c>
      <c r="P284" s="230"/>
      <c r="Q284" s="230">
        <v>38.32258064516129</v>
      </c>
      <c r="R284" s="230">
        <v>11.96774193548387</v>
      </c>
      <c r="S284" s="230">
        <v>9185</v>
      </c>
      <c r="T284" s="230">
        <v>378.64516129032256</v>
      </c>
      <c r="U284" s="230">
        <v>5753.225806451613</v>
      </c>
      <c r="V284" s="230">
        <v>0</v>
      </c>
      <c r="W284" s="230"/>
      <c r="X284" s="230">
        <v>49614</v>
      </c>
      <c r="Y284" s="230">
        <v>32194.516129032258</v>
      </c>
      <c r="Z284" s="230">
        <v>10721.677419354839</v>
      </c>
      <c r="AA284" s="230">
        <v>65.51612903225806</v>
      </c>
      <c r="AB284" s="230">
        <v>0</v>
      </c>
      <c r="AC284" s="230">
        <v>1265.225806451613</v>
      </c>
      <c r="AD284" s="230">
        <v>0</v>
      </c>
      <c r="AE284" s="230">
        <v>2836.7741935483873</v>
      </c>
      <c r="AF284" s="230">
        <v>0</v>
      </c>
      <c r="AG284" s="230">
        <v>0</v>
      </c>
      <c r="AH284" s="230">
        <v>0</v>
      </c>
      <c r="AI284" s="232">
        <f>SUM(E284:AH284)</f>
        <v>134044.90322580645</v>
      </c>
      <c r="AJ284" s="233">
        <v>134341</v>
      </c>
      <c r="AK284" s="229">
        <f>+AI284-AI283</f>
        <v>-4162.870967741939</v>
      </c>
      <c r="AL284" s="231"/>
    </row>
    <row r="285" spans="3:37" s="142" customFormat="1" ht="12.75">
      <c r="C285" s="226">
        <f t="shared" si="36"/>
        <v>2017.1666574000137</v>
      </c>
      <c r="D285" s="227">
        <v>42767</v>
      </c>
      <c r="AI285" s="233">
        <v>136482</v>
      </c>
      <c r="AJ285" s="233">
        <f>+AJ284</f>
        <v>134341</v>
      </c>
      <c r="AK285" s="229">
        <f>+AI285-AI284</f>
        <v>2437.0967741935456</v>
      </c>
    </row>
    <row r="286" spans="3:37" s="142" customFormat="1" ht="12.75">
      <c r="C286" s="226">
        <f t="shared" si="36"/>
        <v>2017.2499907000138</v>
      </c>
      <c r="D286" s="227">
        <v>42795</v>
      </c>
      <c r="AI286" s="233">
        <v>134270</v>
      </c>
      <c r="AJ286" s="233">
        <f aca="true" t="shared" si="39" ref="AJ286:AJ295">+AJ285</f>
        <v>134341</v>
      </c>
      <c r="AK286" s="229">
        <f t="shared" si="37"/>
        <v>-2212</v>
      </c>
    </row>
    <row r="287" spans="3:37" s="142" customFormat="1" ht="12.75">
      <c r="C287" s="226">
        <f t="shared" si="36"/>
        <v>2017.3333240000138</v>
      </c>
      <c r="D287" s="227">
        <v>42826</v>
      </c>
      <c r="F287" s="184"/>
      <c r="AI287" s="233">
        <v>128929</v>
      </c>
      <c r="AJ287" s="233">
        <f t="shared" si="39"/>
        <v>134341</v>
      </c>
      <c r="AK287" s="229">
        <f t="shared" si="37"/>
        <v>-5341</v>
      </c>
    </row>
    <row r="288" spans="3:37" ht="12.75">
      <c r="C288" s="226">
        <f t="shared" si="36"/>
        <v>2017.4166573000139</v>
      </c>
      <c r="D288" s="227">
        <v>42856</v>
      </c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  <c r="AI288" s="233">
        <v>130741</v>
      </c>
      <c r="AJ288" s="233">
        <f t="shared" si="39"/>
        <v>134341</v>
      </c>
      <c r="AK288" s="229">
        <f aca="true" t="shared" si="40" ref="AK288:AK294">+AI288-AI287</f>
        <v>1812</v>
      </c>
    </row>
    <row r="289" spans="3:37" ht="12.75">
      <c r="C289" s="226">
        <f t="shared" si="36"/>
        <v>2017.499990600014</v>
      </c>
      <c r="D289" s="227">
        <v>42887</v>
      </c>
      <c r="AH289" s="138"/>
      <c r="AI289" s="233">
        <v>137465</v>
      </c>
      <c r="AJ289" s="233">
        <f t="shared" si="39"/>
        <v>134341</v>
      </c>
      <c r="AK289" s="229">
        <f t="shared" si="40"/>
        <v>6724</v>
      </c>
    </row>
    <row r="290" spans="3:37" ht="12.75">
      <c r="C290" s="226">
        <f t="shared" si="36"/>
        <v>2017.583323900014</v>
      </c>
      <c r="D290" s="227">
        <v>42917</v>
      </c>
      <c r="S290" s="142"/>
      <c r="AI290" s="233">
        <v>133467</v>
      </c>
      <c r="AJ290" s="233">
        <f t="shared" si="39"/>
        <v>134341</v>
      </c>
      <c r="AK290" s="229">
        <f t="shared" si="40"/>
        <v>-3998</v>
      </c>
    </row>
    <row r="291" spans="3:37" ht="12.75">
      <c r="C291" s="226">
        <f t="shared" si="36"/>
        <v>2017.666657200014</v>
      </c>
      <c r="D291" s="227">
        <v>42948</v>
      </c>
      <c r="AI291" s="233">
        <v>145366</v>
      </c>
      <c r="AJ291" s="233">
        <f>+AJ290</f>
        <v>134341</v>
      </c>
      <c r="AK291" s="229">
        <f t="shared" si="40"/>
        <v>11899</v>
      </c>
    </row>
    <row r="292" spans="3:37" ht="12.75">
      <c r="C292" s="226">
        <f t="shared" si="36"/>
        <v>2017.749990500014</v>
      </c>
      <c r="D292" s="227">
        <v>42979</v>
      </c>
      <c r="AI292" s="233">
        <v>123825</v>
      </c>
      <c r="AJ292" s="233">
        <f t="shared" si="39"/>
        <v>134341</v>
      </c>
      <c r="AK292" s="229">
        <f t="shared" si="40"/>
        <v>-21541</v>
      </c>
    </row>
    <row r="293" spans="3:37" ht="12.75">
      <c r="C293" s="226">
        <f t="shared" si="36"/>
        <v>2017.833323800014</v>
      </c>
      <c r="D293" s="227">
        <v>43009</v>
      </c>
      <c r="AI293" s="233">
        <v>131594</v>
      </c>
      <c r="AJ293" s="233">
        <f t="shared" si="39"/>
        <v>134341</v>
      </c>
      <c r="AK293" s="229">
        <f t="shared" si="40"/>
        <v>7769</v>
      </c>
    </row>
    <row r="294" spans="3:37" ht="12.75">
      <c r="C294" s="226">
        <f t="shared" si="36"/>
        <v>2017.9166571000142</v>
      </c>
      <c r="D294" s="227">
        <v>43040</v>
      </c>
      <c r="AI294" s="233">
        <v>134376</v>
      </c>
      <c r="AJ294" s="233">
        <f t="shared" si="39"/>
        <v>134341</v>
      </c>
      <c r="AK294" s="229">
        <f t="shared" si="40"/>
        <v>2782</v>
      </c>
    </row>
    <row r="295" spans="3:37" ht="12.75">
      <c r="C295" s="226">
        <f t="shared" si="36"/>
        <v>2017.9999904000142</v>
      </c>
      <c r="D295" s="227">
        <v>43070</v>
      </c>
      <c r="AI295" s="233">
        <v>141326</v>
      </c>
      <c r="AJ295" s="233">
        <f t="shared" si="39"/>
        <v>134341</v>
      </c>
      <c r="AK295" s="229">
        <f>+AI295-AI294</f>
        <v>6950</v>
      </c>
    </row>
    <row r="296" spans="3:37" ht="12.75">
      <c r="C296" s="226">
        <f t="shared" si="36"/>
        <v>2018.0833237000143</v>
      </c>
      <c r="D296" s="227">
        <v>43101</v>
      </c>
      <c r="AI296" s="250">
        <v>138374</v>
      </c>
      <c r="AJ296" s="250">
        <v>128312</v>
      </c>
      <c r="AK296" s="248">
        <f>+AI296-AI295</f>
        <v>-2952</v>
      </c>
    </row>
    <row r="297" spans="3:37" ht="12.75">
      <c r="C297" s="226">
        <f t="shared" si="36"/>
        <v>2018.1666570000143</v>
      </c>
      <c r="D297" s="227">
        <v>43132</v>
      </c>
      <c r="AI297" s="250">
        <v>101698</v>
      </c>
      <c r="AJ297" s="250">
        <f>+AJ296</f>
        <v>128312</v>
      </c>
      <c r="AK297" s="248">
        <f>+AI297-AI296</f>
        <v>-36676</v>
      </c>
    </row>
    <row r="298" spans="3:37" ht="12.75">
      <c r="C298" s="226">
        <f t="shared" si="36"/>
        <v>2018.2499903000144</v>
      </c>
      <c r="D298" s="227">
        <v>43160</v>
      </c>
      <c r="AI298" s="250">
        <v>142289</v>
      </c>
      <c r="AJ298" s="250">
        <f>+AJ297</f>
        <v>128312</v>
      </c>
      <c r="AK298" s="248">
        <f>+AI298-AI297</f>
        <v>40591</v>
      </c>
    </row>
    <row r="299" spans="35:37" ht="12.75">
      <c r="AI299" s="249"/>
      <c r="AJ299" s="249"/>
      <c r="AK299" s="248"/>
    </row>
    <row r="300" spans="35:37" ht="12.75">
      <c r="AI300" s="249"/>
      <c r="AJ300" s="249"/>
      <c r="AK300" s="248"/>
    </row>
  </sheetData>
  <sheetProtection/>
  <mergeCells count="194">
    <mergeCell ref="J273:K273"/>
    <mergeCell ref="J274:K274"/>
    <mergeCell ref="J275:K275"/>
    <mergeCell ref="J276:K276"/>
    <mergeCell ref="J277:K277"/>
    <mergeCell ref="J278:K278"/>
    <mergeCell ref="J272:K272"/>
    <mergeCell ref="J252:K252"/>
    <mergeCell ref="J253:K253"/>
    <mergeCell ref="J251:K251"/>
    <mergeCell ref="J250:K25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55:K255"/>
    <mergeCell ref="J242:K242"/>
    <mergeCell ref="J227:K227"/>
    <mergeCell ref="J229:K229"/>
    <mergeCell ref="J235:K235"/>
    <mergeCell ref="J243:K243"/>
    <mergeCell ref="J246:K246"/>
    <mergeCell ref="J247:K247"/>
    <mergeCell ref="J248:K248"/>
    <mergeCell ref="J249:K249"/>
    <mergeCell ref="J185:K185"/>
    <mergeCell ref="J195:K195"/>
    <mergeCell ref="J194:K194"/>
    <mergeCell ref="J211:K211"/>
    <mergeCell ref="J217:K217"/>
    <mergeCell ref="J215:K215"/>
    <mergeCell ref="J220:K220"/>
    <mergeCell ref="J197:K197"/>
    <mergeCell ref="J196:K196"/>
    <mergeCell ref="J192:K192"/>
    <mergeCell ref="J204:K204"/>
    <mergeCell ref="J200:K200"/>
    <mergeCell ref="J201:K201"/>
    <mergeCell ref="J210:K210"/>
    <mergeCell ref="J203:K203"/>
    <mergeCell ref="J202:K202"/>
    <mergeCell ref="J208:K208"/>
    <mergeCell ref="J209:K209"/>
    <mergeCell ref="J207:K207"/>
    <mergeCell ref="J205:K205"/>
    <mergeCell ref="J206:K206"/>
    <mergeCell ref="J212:K212"/>
    <mergeCell ref="J213:K213"/>
    <mergeCell ref="J218:K218"/>
    <mergeCell ref="J136:K136"/>
    <mergeCell ref="J131:K131"/>
    <mergeCell ref="J154:K154"/>
    <mergeCell ref="J153:K153"/>
    <mergeCell ref="J134:K134"/>
    <mergeCell ref="J191:K191"/>
    <mergeCell ref="J186:K186"/>
    <mergeCell ref="J146:K146"/>
    <mergeCell ref="J163:K163"/>
    <mergeCell ref="J166:K166"/>
    <mergeCell ref="J164:K164"/>
    <mergeCell ref="J188:K188"/>
    <mergeCell ref="J189:K189"/>
    <mergeCell ref="J190:K190"/>
    <mergeCell ref="J187:K187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65:K165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22:K122"/>
    <mergeCell ref="J149:K149"/>
    <mergeCell ref="J133:K133"/>
    <mergeCell ref="J126:K126"/>
    <mergeCell ref="J130:K130"/>
    <mergeCell ref="J145:K145"/>
    <mergeCell ref="J139:K139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85:K85"/>
    <mergeCell ref="J86:K86"/>
    <mergeCell ref="J87:K87"/>
    <mergeCell ref="J88:K88"/>
    <mergeCell ref="J93:K93"/>
    <mergeCell ref="J104:K104"/>
    <mergeCell ref="J105:K105"/>
    <mergeCell ref="J94:K94"/>
    <mergeCell ref="J95:K95"/>
    <mergeCell ref="J97:K97"/>
    <mergeCell ref="J103:K103"/>
    <mergeCell ref="J102:K102"/>
    <mergeCell ref="J100:K100"/>
    <mergeCell ref="J89:K89"/>
    <mergeCell ref="J90:K90"/>
    <mergeCell ref="J91:K91"/>
    <mergeCell ref="J92:K92"/>
    <mergeCell ref="J157:K157"/>
    <mergeCell ref="J199:K199"/>
    <mergeCell ref="J142:K142"/>
    <mergeCell ref="J169:K169"/>
    <mergeCell ref="J181:K181"/>
    <mergeCell ref="J179:K179"/>
    <mergeCell ref="J168:K168"/>
    <mergeCell ref="J167:K167"/>
    <mergeCell ref="J173:K173"/>
    <mergeCell ref="J172:K172"/>
    <mergeCell ref="J170:K170"/>
    <mergeCell ref="J171:K171"/>
    <mergeCell ref="J175:K175"/>
    <mergeCell ref="J193:K193"/>
    <mergeCell ref="J182:K182"/>
    <mergeCell ref="J183:K183"/>
    <mergeCell ref="J180:K180"/>
    <mergeCell ref="J177:K177"/>
    <mergeCell ref="J198:K198"/>
    <mergeCell ref="J178:K178"/>
    <mergeCell ref="J151:K151"/>
    <mergeCell ref="J176:K176"/>
    <mergeCell ref="J174:K174"/>
    <mergeCell ref="J184:K184"/>
    <mergeCell ref="J214:K214"/>
    <mergeCell ref="J219:K219"/>
    <mergeCell ref="J245:K245"/>
    <mergeCell ref="J231:K231"/>
    <mergeCell ref="J225:K225"/>
    <mergeCell ref="J223:K223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16:K216"/>
    <mergeCell ref="J221:K221"/>
    <mergeCell ref="J244:K244"/>
    <mergeCell ref="J240:K240"/>
    <mergeCell ref="J236:K236"/>
    <mergeCell ref="J234:K234"/>
    <mergeCell ref="J230:K230"/>
    <mergeCell ref="J239:K239"/>
  </mergeCells>
  <printOptions horizontalCentered="1" verticalCentered="1"/>
  <pageMargins left="0.7874015748031497" right="0.7874015748031497" top="0.41" bottom="0.28" header="0.25" footer="0.23"/>
  <pageSetup fitToHeight="1" fitToWidth="1" horizontalDpi="300" verticalDpi="300" orientation="portrait" scale="29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F1">
      <pane ySplit="4" topLeftCell="A276" activePane="bottomLeft" state="frozen"/>
      <selection pane="topLeft" activeCell="AI291" sqref="AI291"/>
      <selection pane="bottomLeft" activeCell="J297" sqref="J297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9" t="s">
        <v>31</v>
      </c>
      <c r="AG11" s="269"/>
      <c r="AH11" s="269"/>
      <c r="AI11" s="269"/>
      <c r="AJ11" s="269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9" t="s">
        <v>32</v>
      </c>
      <c r="AG12" s="269"/>
      <c r="AH12" s="269"/>
      <c r="AI12" s="269"/>
      <c r="AJ12" s="269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9" t="s">
        <v>33</v>
      </c>
      <c r="AG13" s="269"/>
      <c r="AH13" s="269"/>
      <c r="AI13" s="269"/>
      <c r="AJ13" s="269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295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</v>
      </c>
      <c r="I256" s="182">
        <v>5569.032258064516</v>
      </c>
      <c r="J256" s="182">
        <v>624992.1612903225</v>
      </c>
      <c r="K256" s="182">
        <v>531433.7741935484</v>
      </c>
      <c r="L256" s="182">
        <v>90899.58064516129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9" customFormat="1" ht="12.75">
      <c r="B257" s="185">
        <f t="shared" si="14"/>
        <v>2015.0833249000107</v>
      </c>
      <c r="C257" s="186">
        <v>42005</v>
      </c>
      <c r="D257" s="187">
        <v>9462.225806451614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5607.935483870968</v>
      </c>
      <c r="J257" s="187">
        <v>543248</v>
      </c>
      <c r="K257" s="187">
        <v>545663.4838709678</v>
      </c>
      <c r="L257" s="187">
        <v>86943.87096774194</v>
      </c>
      <c r="M257" s="187">
        <v>12718.741935483871</v>
      </c>
      <c r="N257" s="187">
        <f>+SUM(D257:M257)</f>
        <v>1233309.9032258063</v>
      </c>
      <c r="O257" s="187">
        <v>1294666.0901</v>
      </c>
      <c r="P257" s="188">
        <f>N257-N256</f>
        <v>-70223.54838709673</v>
      </c>
    </row>
    <row r="258" spans="2:16" s="189" customFormat="1" ht="12.75">
      <c r="B258" s="185">
        <f t="shared" si="14"/>
        <v>2015.1666582000107</v>
      </c>
      <c r="C258" s="186">
        <v>42036</v>
      </c>
      <c r="D258" s="187">
        <v>8833.785714285714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</v>
      </c>
      <c r="I258" s="187">
        <v>4576.321428571428</v>
      </c>
      <c r="J258" s="187">
        <v>583878.0714285715</v>
      </c>
      <c r="K258" s="187">
        <v>513581.3214285714</v>
      </c>
      <c r="L258" s="187">
        <v>83334.07142857143</v>
      </c>
      <c r="M258" s="187">
        <v>14223.285714285714</v>
      </c>
      <c r="N258" s="187">
        <f t="shared" si="16"/>
        <v>1235733.75</v>
      </c>
      <c r="O258" s="187">
        <f>+O257</f>
        <v>1294666.0901</v>
      </c>
      <c r="P258" s="188">
        <f t="shared" si="12"/>
        <v>2423.846774193691</v>
      </c>
    </row>
    <row r="259" spans="2:16" s="189" customFormat="1" ht="12.75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</v>
      </c>
      <c r="I259" s="187">
        <v>5308.387096774193</v>
      </c>
      <c r="J259" s="187">
        <v>648717.8064516129</v>
      </c>
      <c r="K259" s="187">
        <v>459847.67741935485</v>
      </c>
      <c r="L259" s="187">
        <v>85955.19354838709</v>
      </c>
      <c r="M259" s="187">
        <v>14836.258064516129</v>
      </c>
      <c r="N259" s="187">
        <f t="shared" si="16"/>
        <v>1252104.5806451612</v>
      </c>
      <c r="O259" s="187">
        <f aca="true" t="shared" si="17" ref="O259:O268">+O258</f>
        <v>1294666.0901</v>
      </c>
      <c r="P259" s="188">
        <f t="shared" si="12"/>
        <v>16370.830645161215</v>
      </c>
    </row>
    <row r="260" spans="2:16" s="189" customFormat="1" ht="12.75">
      <c r="B260" s="185">
        <f t="shared" si="14"/>
        <v>2015.3333248000108</v>
      </c>
      <c r="C260" s="186">
        <v>42095</v>
      </c>
      <c r="D260" s="187">
        <v>9274.8</v>
      </c>
      <c r="E260" s="187">
        <v>1581.2741766666666</v>
      </c>
      <c r="F260" s="187">
        <v>3099.233333333333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</v>
      </c>
      <c r="K260" s="187">
        <v>439317.15340999997</v>
      </c>
      <c r="L260" s="187">
        <v>63488.032713333334</v>
      </c>
      <c r="M260" s="187">
        <v>14572.773</v>
      </c>
      <c r="N260" s="187">
        <f t="shared" si="16"/>
        <v>1153490.96845</v>
      </c>
      <c r="O260" s="187">
        <f t="shared" si="17"/>
        <v>1294666.0901</v>
      </c>
      <c r="P260" s="188">
        <f aca="true" t="shared" si="18" ref="P260:P265">N260-N259</f>
        <v>-98613.61219516117</v>
      </c>
    </row>
    <row r="261" spans="2:16" s="189" customFormat="1" ht="12.75">
      <c r="B261" s="185">
        <f t="shared" si="14"/>
        <v>2015.4166581000109</v>
      </c>
      <c r="C261" s="186">
        <v>42125</v>
      </c>
      <c r="D261" s="187">
        <v>9211.935483870968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8367.225806451614</v>
      </c>
      <c r="I261" s="187">
        <v>7057.967741935484</v>
      </c>
      <c r="J261" s="187">
        <v>616913.0967741936</v>
      </c>
      <c r="K261" s="187">
        <v>292298.3548387097</v>
      </c>
      <c r="L261" s="187">
        <v>57255.8064516129</v>
      </c>
      <c r="M261" s="187">
        <v>16405.612903225807</v>
      </c>
      <c r="N261" s="187">
        <f t="shared" si="16"/>
        <v>1025056.9677419355</v>
      </c>
      <c r="O261" s="187">
        <f t="shared" si="17"/>
        <v>1294666.0901</v>
      </c>
      <c r="P261" s="188">
        <f t="shared" si="18"/>
        <v>-128434.00070806453</v>
      </c>
    </row>
    <row r="262" spans="2:16" s="189" customFormat="1" ht="12.75">
      <c r="B262" s="185">
        <f t="shared" si="14"/>
        <v>2015.499991400011</v>
      </c>
      <c r="C262" s="186">
        <v>42156</v>
      </c>
      <c r="D262" s="187">
        <v>9021.733333333334</v>
      </c>
      <c r="E262" s="187">
        <v>2145.2</v>
      </c>
      <c r="F262" s="187">
        <v>3132.733333333333</v>
      </c>
      <c r="G262" s="187">
        <v>14032.866666666667</v>
      </c>
      <c r="H262" s="187">
        <v>11017.8</v>
      </c>
      <c r="I262" s="187">
        <v>7550.066666666667</v>
      </c>
      <c r="J262" s="187">
        <v>709752.1666666666</v>
      </c>
      <c r="K262" s="187">
        <v>493899.8333333333</v>
      </c>
      <c r="L262" s="187">
        <v>87204.46666666666</v>
      </c>
      <c r="M262" s="187">
        <v>13853.066666666668</v>
      </c>
      <c r="N262" s="187">
        <f t="shared" si="16"/>
        <v>1351609.933333333</v>
      </c>
      <c r="O262" s="187">
        <f t="shared" si="17"/>
        <v>1294666.0901</v>
      </c>
      <c r="P262" s="188">
        <f t="shared" si="18"/>
        <v>326552.9655913976</v>
      </c>
    </row>
    <row r="263" spans="2:16" s="189" customFormat="1" ht="12.75">
      <c r="B263" s="185">
        <f t="shared" si="14"/>
        <v>2015.583324700011</v>
      </c>
      <c r="C263" s="186">
        <v>42186</v>
      </c>
      <c r="D263" s="187">
        <v>8545.870967741936</v>
      </c>
      <c r="E263" s="187">
        <v>2170.064516129032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</v>
      </c>
      <c r="K263" s="187">
        <v>413778.67741935485</v>
      </c>
      <c r="L263" s="187">
        <v>66311</v>
      </c>
      <c r="M263" s="187">
        <v>11851</v>
      </c>
      <c r="N263" s="187">
        <f aca="true" t="shared" si="19" ref="N263:N268">+SUM(D263:M263)</f>
        <v>1225001.4516129033</v>
      </c>
      <c r="O263" s="187">
        <f t="shared" si="17"/>
        <v>1294666.0901</v>
      </c>
      <c r="P263" s="188">
        <f t="shared" si="18"/>
        <v>-126608.48172042985</v>
      </c>
    </row>
    <row r="264" spans="2:16" s="189" customFormat="1" ht="12.75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2248.935483870968</v>
      </c>
      <c r="F264" s="187">
        <v>2970.483870967742</v>
      </c>
      <c r="G264" s="187">
        <v>14873</v>
      </c>
      <c r="H264" s="187">
        <v>10305.161290322581</v>
      </c>
      <c r="I264" s="187">
        <v>7934.419354838709</v>
      </c>
      <c r="J264" s="187">
        <v>690308.4193548387</v>
      </c>
      <c r="K264" s="187">
        <v>114776.03225806452</v>
      </c>
      <c r="L264" s="187">
        <v>36666.87096774193</v>
      </c>
      <c r="M264" s="187">
        <v>27430.451612903227</v>
      </c>
      <c r="N264" s="187">
        <f t="shared" si="19"/>
        <v>917233.7419354839</v>
      </c>
      <c r="O264" s="187">
        <f t="shared" si="17"/>
        <v>1294666.0901</v>
      </c>
      <c r="P264" s="188">
        <f t="shared" si="18"/>
        <v>-307767.7096774194</v>
      </c>
    </row>
    <row r="265" spans="2:16" s="189" customFormat="1" ht="12.75">
      <c r="B265" s="185">
        <f t="shared" si="14"/>
        <v>2015.749991300011</v>
      </c>
      <c r="C265" s="186">
        <v>42248</v>
      </c>
      <c r="D265" s="187">
        <v>10156.733333333334</v>
      </c>
      <c r="E265" s="187">
        <v>2365.2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660422.7266666667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1294666.0901</v>
      </c>
      <c r="P265" s="188">
        <f t="shared" si="18"/>
        <v>149264.12573118298</v>
      </c>
    </row>
    <row r="266" spans="2:16" s="189" customFormat="1" ht="12.75">
      <c r="B266" s="185">
        <f t="shared" si="14"/>
        <v>2015.833324600011</v>
      </c>
      <c r="C266" s="186">
        <v>42278</v>
      </c>
      <c r="D266" s="187">
        <v>10230.09677419355</v>
      </c>
      <c r="E266" s="187">
        <v>2386.128064516129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724629.9670967743</v>
      </c>
      <c r="K266" s="187">
        <v>495241.0487096774</v>
      </c>
      <c r="L266" s="187">
        <v>85658.41322580645</v>
      </c>
      <c r="M266" s="187">
        <v>19667.453548387097</v>
      </c>
      <c r="N266" s="187">
        <f t="shared" si="19"/>
        <v>1372026.7996774197</v>
      </c>
      <c r="O266" s="187">
        <f t="shared" si="17"/>
        <v>1294666.0901</v>
      </c>
      <c r="P266" s="188">
        <f>N266-N265</f>
        <v>305528.93201075285</v>
      </c>
    </row>
    <row r="267" spans="2:16" s="189" customFormat="1" ht="12.75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</v>
      </c>
      <c r="F267" s="187">
        <v>2855.1</v>
      </c>
      <c r="G267" s="187">
        <v>13881.633333333333</v>
      </c>
      <c r="H267" s="187">
        <v>12016.9</v>
      </c>
      <c r="I267" s="187">
        <v>6130.566666666667</v>
      </c>
      <c r="J267" s="187">
        <v>703397.9333333333</v>
      </c>
      <c r="K267" s="187">
        <v>491247.8</v>
      </c>
      <c r="L267" s="187">
        <v>94854.56666666667</v>
      </c>
      <c r="M267" s="187">
        <v>16332.566666666668</v>
      </c>
      <c r="N267" s="187">
        <f t="shared" si="19"/>
        <v>1353317.1333333333</v>
      </c>
      <c r="O267" s="187">
        <f t="shared" si="17"/>
        <v>1294666.0901</v>
      </c>
      <c r="P267" s="188">
        <f>N267-N266</f>
        <v>-18709.666344086407</v>
      </c>
    </row>
    <row r="268" spans="2:16" s="189" customFormat="1" ht="12.75">
      <c r="B268" s="185">
        <f t="shared" si="14"/>
        <v>2015.9999912000112</v>
      </c>
      <c r="C268" s="193">
        <v>42339</v>
      </c>
      <c r="D268" s="194">
        <v>10131.967741935483</v>
      </c>
      <c r="E268" s="194">
        <v>2217.6129032258063</v>
      </c>
      <c r="F268" s="194">
        <v>3148.7419354838707</v>
      </c>
      <c r="G268" s="194">
        <v>12455.548387096775</v>
      </c>
      <c r="H268" s="194">
        <v>10061.935483870968</v>
      </c>
      <c r="I268" s="194">
        <v>7175.387096774193</v>
      </c>
      <c r="J268" s="194">
        <v>658062.0322580645</v>
      </c>
      <c r="K268" s="194">
        <v>529471.9354838709</v>
      </c>
      <c r="L268" s="194">
        <v>74477.41935483871</v>
      </c>
      <c r="M268" s="194">
        <v>19378.290322580644</v>
      </c>
      <c r="N268" s="194">
        <f t="shared" si="19"/>
        <v>1326580.8709677418</v>
      </c>
      <c r="O268" s="194">
        <f t="shared" si="17"/>
        <v>1294666.0901</v>
      </c>
      <c r="P268" s="195">
        <f>N268-N267</f>
        <v>-26736.26236559148</v>
      </c>
    </row>
    <row r="269" spans="1:16" ht="12.75">
      <c r="A269" s="189"/>
      <c r="B269" s="185">
        <f t="shared" si="14"/>
        <v>2016.0833245000113</v>
      </c>
      <c r="C269" s="222">
        <v>42370</v>
      </c>
      <c r="D269" s="196">
        <v>8343.032258064517</v>
      </c>
      <c r="E269" s="196">
        <v>2070.0967741935483</v>
      </c>
      <c r="F269" s="196">
        <v>3098</v>
      </c>
      <c r="G269" s="196">
        <v>11397.064516129032</v>
      </c>
      <c r="H269" s="196">
        <v>10120.90322580645</v>
      </c>
      <c r="I269" s="196">
        <v>7483.419354838709</v>
      </c>
      <c r="J269" s="196">
        <v>559286.1290322581</v>
      </c>
      <c r="K269" s="196">
        <v>303206.3870967742</v>
      </c>
      <c r="L269" s="196">
        <v>63920.25806451613</v>
      </c>
      <c r="M269" s="196">
        <v>29750.032258064515</v>
      </c>
      <c r="N269" s="196">
        <f aca="true" t="shared" si="20" ref="N269:N278">+SUM(D269:M269)</f>
        <v>998675.3225806451</v>
      </c>
      <c r="O269" s="223">
        <v>1350904.1949</v>
      </c>
      <c r="P269" s="196">
        <f>N269-N268</f>
        <v>-327905.54838709673</v>
      </c>
    </row>
    <row r="270" spans="1:16" s="5" customFormat="1" ht="13.5" customHeight="1">
      <c r="A270" s="189"/>
      <c r="B270" s="185">
        <f t="shared" si="14"/>
        <v>2016.1666578000113</v>
      </c>
      <c r="C270" s="222">
        <v>42401</v>
      </c>
      <c r="D270" s="196">
        <v>8595.689655172413</v>
      </c>
      <c r="E270" s="196">
        <v>1920.4317137931034</v>
      </c>
      <c r="F270" s="196">
        <v>3109.448275862069</v>
      </c>
      <c r="G270" s="196">
        <v>13098.068965517241</v>
      </c>
      <c r="H270" s="196">
        <v>8577.005131034482</v>
      </c>
      <c r="I270" s="196">
        <v>7077.8933</v>
      </c>
      <c r="J270" s="196">
        <v>652481.1699655172</v>
      </c>
      <c r="K270" s="196">
        <v>317178.39746206894</v>
      </c>
      <c r="L270" s="196">
        <v>32485.05454827586</v>
      </c>
      <c r="M270" s="196">
        <v>18702.80979310345</v>
      </c>
      <c r="N270" s="196">
        <f t="shared" si="20"/>
        <v>1063225.9688103448</v>
      </c>
      <c r="O270" s="220">
        <f>+O269</f>
        <v>1350904.1949</v>
      </c>
      <c r="P270" s="196">
        <f aca="true" t="shared" si="21" ref="P270:P278">N270-N269</f>
        <v>64550.64622969972</v>
      </c>
    </row>
    <row r="271" spans="1:16" s="5" customFormat="1" ht="12.75">
      <c r="A271" s="189"/>
      <c r="B271" s="185">
        <f t="shared" si="14"/>
        <v>2016.2499911000114</v>
      </c>
      <c r="C271" s="222">
        <v>42430</v>
      </c>
      <c r="D271" s="196">
        <v>8281.806451612903</v>
      </c>
      <c r="E271" s="196">
        <v>1988.3555387096774</v>
      </c>
      <c r="F271" s="196">
        <v>3155.6129032258063</v>
      </c>
      <c r="G271" s="196">
        <v>13441.677419354839</v>
      </c>
      <c r="H271" s="196">
        <v>10717.439774193548</v>
      </c>
      <c r="I271" s="196">
        <v>7185.560351612903</v>
      </c>
      <c r="J271" s="196">
        <v>637085.9118774193</v>
      </c>
      <c r="K271" s="196">
        <v>511111.62507096777</v>
      </c>
      <c r="L271" s="196">
        <v>91207.16970967742</v>
      </c>
      <c r="M271" s="196">
        <v>13644.514280645162</v>
      </c>
      <c r="N271" s="196">
        <f t="shared" si="20"/>
        <v>1297819.6733774194</v>
      </c>
      <c r="O271" s="221">
        <f>+O270</f>
        <v>1350904.1949</v>
      </c>
      <c r="P271" s="196">
        <f t="shared" si="21"/>
        <v>234593.70456707454</v>
      </c>
    </row>
    <row r="272" spans="1:16" s="5" customFormat="1" ht="12.75">
      <c r="A272" s="189"/>
      <c r="B272" s="185">
        <f t="shared" si="14"/>
        <v>2016.3333244000114</v>
      </c>
      <c r="C272" s="222">
        <v>42461</v>
      </c>
      <c r="D272" s="196">
        <v>7452.266666666666</v>
      </c>
      <c r="E272" s="196">
        <v>2188.4666666666667</v>
      </c>
      <c r="F272" s="196">
        <v>3042.6</v>
      </c>
      <c r="G272" s="196">
        <v>13807.9</v>
      </c>
      <c r="H272" s="196">
        <v>10368.2</v>
      </c>
      <c r="I272" s="196">
        <v>7293.9</v>
      </c>
      <c r="J272" s="196">
        <v>626729.8666666667</v>
      </c>
      <c r="K272" s="196">
        <v>511646</v>
      </c>
      <c r="L272" s="196">
        <v>115935.1</v>
      </c>
      <c r="M272" s="196">
        <v>15149.566666666668</v>
      </c>
      <c r="N272" s="196">
        <f t="shared" si="20"/>
        <v>1313613.866666667</v>
      </c>
      <c r="O272" s="221">
        <f>+O271</f>
        <v>1350904.1949</v>
      </c>
      <c r="P272" s="196">
        <f t="shared" si="21"/>
        <v>15794.193289247574</v>
      </c>
    </row>
    <row r="273" spans="1:16" ht="12.75">
      <c r="A273" s="189"/>
      <c r="B273" s="185">
        <f t="shared" si="14"/>
        <v>2016.4166577000115</v>
      </c>
      <c r="C273" s="222">
        <v>42491</v>
      </c>
      <c r="D273" s="196">
        <v>7816.741935483871</v>
      </c>
      <c r="E273" s="196">
        <v>2153.7096774193546</v>
      </c>
      <c r="F273" s="196">
        <v>3037.8709677419356</v>
      </c>
      <c r="G273" s="196">
        <v>15118.161290322581</v>
      </c>
      <c r="H273" s="196">
        <v>8919.935483870968</v>
      </c>
      <c r="I273" s="196">
        <v>6482.451612903225</v>
      </c>
      <c r="J273" s="196">
        <v>739284.6774193548</v>
      </c>
      <c r="K273" s="196">
        <v>471128.87096774194</v>
      </c>
      <c r="L273" s="196">
        <v>179549.4193548387</v>
      </c>
      <c r="M273" s="196">
        <v>13036.322580645161</v>
      </c>
      <c r="N273" s="196">
        <f t="shared" si="20"/>
        <v>1446528.1612903227</v>
      </c>
      <c r="O273" s="220">
        <f aca="true" t="shared" si="22" ref="O273:O279">+O272</f>
        <v>1350904.1949</v>
      </c>
      <c r="P273" s="196">
        <f t="shared" si="21"/>
        <v>132914.29462365573</v>
      </c>
    </row>
    <row r="274" spans="1:18" ht="12.75">
      <c r="A274" s="189"/>
      <c r="B274" s="185">
        <f t="shared" si="14"/>
        <v>2016.4999910000115</v>
      </c>
      <c r="C274" s="222">
        <v>42522</v>
      </c>
      <c r="D274" s="196">
        <v>7979.9</v>
      </c>
      <c r="E274" s="196">
        <v>2412.9</v>
      </c>
      <c r="F274" s="196">
        <v>3162.4333333333334</v>
      </c>
      <c r="G274" s="196">
        <v>15093.5</v>
      </c>
      <c r="H274" s="196">
        <v>10269.1</v>
      </c>
      <c r="I274" s="196">
        <v>8090.4</v>
      </c>
      <c r="J274" s="196">
        <v>781856.8666666667</v>
      </c>
      <c r="K274" s="196">
        <v>329147.0333333333</v>
      </c>
      <c r="L274" s="196">
        <v>143244.43333333332</v>
      </c>
      <c r="M274" s="196">
        <v>24832.4</v>
      </c>
      <c r="N274" s="196">
        <f t="shared" si="20"/>
        <v>1326088.9666666666</v>
      </c>
      <c r="O274" s="221">
        <f t="shared" si="22"/>
        <v>1350904.1949</v>
      </c>
      <c r="P274" s="196">
        <f>N274-N273</f>
        <v>-120439.1946236561</v>
      </c>
      <c r="R274" s="4"/>
    </row>
    <row r="275" spans="1:16" ht="12.75">
      <c r="A275" s="189"/>
      <c r="B275" s="185">
        <f t="shared" si="14"/>
        <v>2016.5833243000116</v>
      </c>
      <c r="C275" s="222">
        <v>42552</v>
      </c>
      <c r="D275" s="196">
        <v>7704.129032258064</v>
      </c>
      <c r="E275" s="196">
        <v>2297.935483870968</v>
      </c>
      <c r="F275" s="196">
        <v>3116.8709677419356</v>
      </c>
      <c r="G275" s="196">
        <v>16026.870967741936</v>
      </c>
      <c r="H275" s="196">
        <v>11230.870967741936</v>
      </c>
      <c r="I275" s="196">
        <v>8421.516129032258</v>
      </c>
      <c r="J275" s="196">
        <v>792049.4838709678</v>
      </c>
      <c r="K275" s="196">
        <v>480176.1935483871</v>
      </c>
      <c r="L275" s="196">
        <v>182516.51612903227</v>
      </c>
      <c r="M275" s="196">
        <v>8831.612903225807</v>
      </c>
      <c r="N275" s="196">
        <f t="shared" si="20"/>
        <v>1512372</v>
      </c>
      <c r="O275" s="221">
        <f t="shared" si="22"/>
        <v>1350904.1949</v>
      </c>
      <c r="P275" s="196">
        <f t="shared" si="21"/>
        <v>186283.03333333344</v>
      </c>
    </row>
    <row r="276" spans="1:16" ht="12.75">
      <c r="A276" s="189"/>
      <c r="B276" s="185">
        <f t="shared" si="14"/>
        <v>2016.6666576000116</v>
      </c>
      <c r="C276" s="222">
        <v>42583</v>
      </c>
      <c r="D276" s="196">
        <v>8428.806451612903</v>
      </c>
      <c r="E276" s="196">
        <v>2428.9559419354837</v>
      </c>
      <c r="F276" s="196">
        <v>3353.3225806451615</v>
      </c>
      <c r="G276" s="196">
        <v>15589.838709677419</v>
      </c>
      <c r="H276" s="196">
        <v>10503.894451612903</v>
      </c>
      <c r="I276" s="196">
        <v>7914.095167741935</v>
      </c>
      <c r="J276" s="196">
        <v>754020.0142225807</v>
      </c>
      <c r="K276" s="196">
        <v>478459.9160032258</v>
      </c>
      <c r="L276" s="196">
        <v>181140.33896451612</v>
      </c>
      <c r="M276" s="196">
        <v>6265.342096774194</v>
      </c>
      <c r="N276" s="196">
        <f t="shared" si="20"/>
        <v>1468104.5245903225</v>
      </c>
      <c r="O276" s="220">
        <f t="shared" si="22"/>
        <v>1350904.1949</v>
      </c>
      <c r="P276" s="196">
        <f t="shared" si="21"/>
        <v>-44267.475409677485</v>
      </c>
    </row>
    <row r="277" spans="1:16" ht="12.75">
      <c r="A277" s="189"/>
      <c r="B277" s="185">
        <f t="shared" si="14"/>
        <v>2016.7499909000117</v>
      </c>
      <c r="C277" s="222">
        <v>42614</v>
      </c>
      <c r="D277" s="196">
        <v>8989.566666666668</v>
      </c>
      <c r="E277" s="196">
        <v>2683.4080200000003</v>
      </c>
      <c r="F277" s="196">
        <v>3036.266666666667</v>
      </c>
      <c r="G277" s="196">
        <v>15015.933333333332</v>
      </c>
      <c r="H277" s="196">
        <v>9905.5259</v>
      </c>
      <c r="I277" s="196">
        <v>8128.594926666667</v>
      </c>
      <c r="J277" s="196">
        <v>678021.2419733333</v>
      </c>
      <c r="K277" s="196">
        <v>501939.91141</v>
      </c>
      <c r="L277" s="196">
        <v>158650.46112</v>
      </c>
      <c r="M277" s="196">
        <v>4629.142833333333</v>
      </c>
      <c r="N277" s="196">
        <f t="shared" si="20"/>
        <v>1391000.0528499999</v>
      </c>
      <c r="O277" s="221">
        <f t="shared" si="22"/>
        <v>1350904.1949</v>
      </c>
      <c r="P277" s="196">
        <f t="shared" si="21"/>
        <v>-77104.47174032265</v>
      </c>
    </row>
    <row r="278" spans="1:16" ht="12.75">
      <c r="A278" s="189"/>
      <c r="B278" s="185">
        <f t="shared" si="14"/>
        <v>2016.8333242000117</v>
      </c>
      <c r="C278" s="222">
        <v>42644</v>
      </c>
      <c r="D278" s="196">
        <v>8977.064516129032</v>
      </c>
      <c r="E278" s="196">
        <v>2737.9128322580646</v>
      </c>
      <c r="F278" s="196">
        <v>3318.8387096774195</v>
      </c>
      <c r="G278" s="196">
        <v>15664.58064516129</v>
      </c>
      <c r="H278" s="196">
        <v>10048.891483870968</v>
      </c>
      <c r="I278" s="196">
        <v>8450.081458064516</v>
      </c>
      <c r="J278" s="196">
        <v>701969.9090967742</v>
      </c>
      <c r="K278" s="196">
        <v>481197.2874645161</v>
      </c>
      <c r="L278" s="196">
        <v>157489.69903225807</v>
      </c>
      <c r="M278" s="196">
        <v>10242.167096774194</v>
      </c>
      <c r="N278" s="196">
        <f t="shared" si="20"/>
        <v>1400096.4323354836</v>
      </c>
      <c r="O278" s="221">
        <f t="shared" si="22"/>
        <v>1350904.1949</v>
      </c>
      <c r="P278" s="196">
        <f t="shared" si="21"/>
        <v>9096.379485483747</v>
      </c>
    </row>
    <row r="279" spans="1:16" ht="12.75">
      <c r="A279" s="189"/>
      <c r="B279" s="185">
        <f t="shared" si="14"/>
        <v>2016.9166575000118</v>
      </c>
      <c r="C279" s="222">
        <v>42675</v>
      </c>
      <c r="D279" s="196">
        <v>8435.133333333333</v>
      </c>
      <c r="E279" s="196">
        <v>2718.02998</v>
      </c>
      <c r="F279" s="196">
        <v>3281.866666666667</v>
      </c>
      <c r="G279" s="196">
        <v>15555.366666666667</v>
      </c>
      <c r="H279" s="196">
        <v>10897.418966666668</v>
      </c>
      <c r="I279" s="196">
        <v>7918.932036666666</v>
      </c>
      <c r="J279" s="196">
        <v>808606.64686</v>
      </c>
      <c r="K279" s="196">
        <v>509275.32376999996</v>
      </c>
      <c r="L279" s="196">
        <v>161531.01057333333</v>
      </c>
      <c r="M279" s="196">
        <v>6048.95717</v>
      </c>
      <c r="N279" s="196">
        <f>+SUM(D279:M279)</f>
        <v>1534268.6860233333</v>
      </c>
      <c r="O279" s="220">
        <f t="shared" si="22"/>
        <v>1350904.1949</v>
      </c>
      <c r="P279" s="196">
        <f aca="true" t="shared" si="23" ref="P279:P292">N279-N278</f>
        <v>134172.25368784973</v>
      </c>
    </row>
    <row r="280" spans="1:16" ht="12.75">
      <c r="A280" s="189"/>
      <c r="B280" s="185">
        <f t="shared" si="14"/>
        <v>2016.9999908000118</v>
      </c>
      <c r="C280" s="222">
        <v>42705</v>
      </c>
      <c r="D280" s="196">
        <v>8295.838709677419</v>
      </c>
      <c r="E280" s="196">
        <v>2468.898587096774</v>
      </c>
      <c r="F280" s="196">
        <v>3205.9032258064517</v>
      </c>
      <c r="G280" s="196">
        <v>15359.774193548386</v>
      </c>
      <c r="H280" s="196">
        <v>11283.790096774193</v>
      </c>
      <c r="I280" s="196">
        <v>7486.577448387097</v>
      </c>
      <c r="J280" s="196">
        <v>739194.3081870968</v>
      </c>
      <c r="K280" s="196">
        <v>507609.0147032258</v>
      </c>
      <c r="L280" s="196">
        <v>150716.28651935485</v>
      </c>
      <c r="M280" s="196">
        <v>81.38709677419355</v>
      </c>
      <c r="N280" s="196">
        <f>+SUM(D280:M280)</f>
        <v>1445701.7787677422</v>
      </c>
      <c r="O280" s="221">
        <f>+O279</f>
        <v>1350904.1949</v>
      </c>
      <c r="P280" s="196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6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7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7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7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7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7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7">
        <f t="shared" si="14"/>
        <v>2018.0833237000124</v>
      </c>
      <c r="C293" s="132">
        <v>43101</v>
      </c>
      <c r="D293"/>
      <c r="E293" s="20"/>
      <c r="F293" s="20"/>
      <c r="N293" s="251">
        <v>1139326.3817</v>
      </c>
      <c r="O293" s="251">
        <v>1057374.4533</v>
      </c>
      <c r="P293" s="252">
        <f>N293-N292</f>
        <v>-181603.56410000008</v>
      </c>
    </row>
    <row r="294" spans="2:16" ht="12.75">
      <c r="B294" s="247">
        <f t="shared" si="14"/>
        <v>2018.1666570000125</v>
      </c>
      <c r="C294" s="132">
        <v>43132</v>
      </c>
      <c r="D294"/>
      <c r="E294" s="20"/>
      <c r="F294" s="20"/>
      <c r="N294" s="251">
        <v>849299.3487</v>
      </c>
      <c r="O294" s="251">
        <f>+O293</f>
        <v>1057374.4533</v>
      </c>
      <c r="P294" s="252">
        <f>N294-N293</f>
        <v>-290027.03300000005</v>
      </c>
    </row>
    <row r="295" spans="2:16" ht="12.75">
      <c r="B295" s="247">
        <f t="shared" si="14"/>
        <v>2018.2499903000125</v>
      </c>
      <c r="C295" s="132">
        <v>43160</v>
      </c>
      <c r="D295"/>
      <c r="E295" s="20"/>
      <c r="F295" s="20"/>
      <c r="N295" s="251">
        <v>1163361.3285</v>
      </c>
      <c r="O295" s="251">
        <f>+O294</f>
        <v>1057374.4533</v>
      </c>
      <c r="P295" s="252">
        <f>N295-N294</f>
        <v>314061.9798000001</v>
      </c>
    </row>
    <row r="296" spans="2:16" ht="12.75">
      <c r="B296"/>
      <c r="D296"/>
      <c r="E296" s="20"/>
      <c r="F296" s="20"/>
      <c r="N296" s="249"/>
      <c r="O296" s="249"/>
      <c r="P296" s="249"/>
    </row>
    <row r="297" spans="2:16" ht="12.75">
      <c r="B297"/>
      <c r="D297"/>
      <c r="E297" s="20"/>
      <c r="F297" s="20"/>
      <c r="N297" s="249"/>
      <c r="O297" s="249"/>
      <c r="P297" s="249"/>
    </row>
    <row r="298" spans="2:6" ht="12.75">
      <c r="B298"/>
      <c r="D298"/>
      <c r="E298" s="20"/>
      <c r="F298" s="20"/>
    </row>
    <row r="299" spans="2:6" ht="12.75">
      <c r="B299"/>
      <c r="D299"/>
      <c r="E299" s="20"/>
      <c r="F299" s="20"/>
    </row>
    <row r="300" spans="2:6" ht="12.75">
      <c r="B300"/>
      <c r="D300"/>
      <c r="E300" s="20"/>
      <c r="F300" s="20"/>
    </row>
    <row r="301" spans="2:6" ht="12.75">
      <c r="B301"/>
      <c r="D301"/>
      <c r="E301" s="20"/>
      <c r="F301" s="20"/>
    </row>
    <row r="302" spans="2:6" ht="12.75">
      <c r="B302"/>
      <c r="D302"/>
      <c r="E302" s="20"/>
      <c r="F302" s="20"/>
    </row>
    <row r="303" spans="2:6" ht="12.75">
      <c r="B303"/>
      <c r="D303"/>
      <c r="E303" s="20"/>
      <c r="F303" s="20"/>
    </row>
    <row r="304" spans="2:6" ht="12.75">
      <c r="B304"/>
      <c r="D304"/>
      <c r="E304" s="20"/>
      <c r="F304" s="20"/>
    </row>
    <row r="305" spans="2:6" ht="12.75">
      <c r="B305"/>
      <c r="D305"/>
      <c r="E305" s="20"/>
      <c r="F305" s="20"/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85" zoomScaleNormal="85" zoomScalePageLayoutView="0" workbookViewId="0" topLeftCell="A13">
      <selection activeCell="O52" sqref="O52"/>
    </sheetView>
  </sheetViews>
  <sheetFormatPr defaultColWidth="11.421875" defaultRowHeight="12.75"/>
  <cols>
    <col min="1" max="1" width="5.57421875" style="234" customWidth="1"/>
    <col min="2" max="2" width="7.00390625" style="234" customWidth="1"/>
    <col min="3" max="3" width="9.00390625" style="234" customWidth="1"/>
    <col min="4" max="4" width="11.421875" style="234" customWidth="1"/>
    <col min="5" max="5" width="9.57421875" style="234" customWidth="1"/>
    <col min="6" max="6" width="9.8515625" style="234" bestFit="1" customWidth="1"/>
    <col min="7" max="7" width="8.140625" style="234" customWidth="1"/>
    <col min="8" max="8" width="11.421875" style="234" customWidth="1"/>
    <col min="9" max="9" width="7.28125" style="234" bestFit="1" customWidth="1"/>
    <col min="10" max="10" width="12.28125" style="234" bestFit="1" customWidth="1"/>
    <col min="11" max="11" width="8.8515625" style="234" customWidth="1"/>
    <col min="12" max="12" width="10.140625" style="234" customWidth="1"/>
    <col min="13" max="13" width="3.7109375" style="234" customWidth="1"/>
    <col min="14" max="14" width="12.421875" style="234" bestFit="1" customWidth="1"/>
    <col min="15" max="15" width="11.421875" style="234" customWidth="1"/>
    <col min="16" max="16" width="13.57421875" style="234" customWidth="1"/>
    <col min="17" max="16384" width="11.421875" style="234" customWidth="1"/>
  </cols>
  <sheetData>
    <row r="2" spans="2:14" ht="20.25" customHeight="1">
      <c r="B2" s="270" t="s">
        <v>68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35"/>
      <c r="N2" s="235"/>
    </row>
    <row r="3" spans="1:13" ht="15.75" customHeight="1">
      <c r="A3" s="236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36"/>
    </row>
    <row r="4" ht="13.5">
      <c r="N4" s="234" t="s">
        <v>49</v>
      </c>
    </row>
    <row r="5" spans="14:15" ht="13.5">
      <c r="N5" s="237"/>
      <c r="O5" s="23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>
      <c r="N17" s="234" t="s">
        <v>57</v>
      </c>
    </row>
    <row r="18" ht="12.75"/>
    <row r="19" ht="12.75"/>
    <row r="20" ht="12.75">
      <c r="V20" s="234" t="s">
        <v>66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8" customHeight="1"/>
    <row r="32" ht="15">
      <c r="C32" s="238" t="s">
        <v>48</v>
      </c>
    </row>
    <row r="33" ht="16.5" customHeight="1">
      <c r="C33" s="238" t="s">
        <v>67</v>
      </c>
    </row>
    <row r="34" spans="3:13" ht="92.25" customHeight="1">
      <c r="C34" s="273" t="s">
        <v>69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</row>
    <row r="35" spans="2:13" ht="3.75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2:13" ht="3.75" customHeight="1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</row>
    <row r="37" spans="2:13" ht="3.75" customHeight="1" hidden="1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2:13" ht="3.75" customHeight="1" hidden="1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</row>
    <row r="39" spans="2:13" ht="3.75" customHeight="1" hidden="1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</row>
    <row r="40" spans="2:13" ht="3.75" customHeight="1" hidden="1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2:13" ht="3.75" customHeight="1" hidden="1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  <row r="42" spans="2:13" ht="3.75" customHeight="1" hidden="1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2:13" ht="3.75" customHeight="1" hidden="1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2:13" ht="3.75" customHeight="1" hidden="1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  <row r="45" spans="2:13" ht="3.75" customHeight="1" hidden="1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</row>
    <row r="46" spans="2:13" ht="3.75" customHeight="1" hidden="1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</row>
    <row r="47" spans="2:13" ht="3.75" customHeight="1" hidden="1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2:13" ht="3.75" customHeight="1" hidden="1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13" ht="3.75" customHeight="1" hidden="1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3" ht="9.75" customHeight="1" hidden="1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1:13" ht="9.7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2" ht="12.75"/>
    <row r="53" ht="12.75">
      <c r="N53" s="24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>
      <c r="N67" s="237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5">
      <c r="C78" s="238" t="s">
        <v>61</v>
      </c>
    </row>
    <row r="79" spans="3:13" ht="48.75" customHeight="1">
      <c r="C79" s="271" t="s">
        <v>70</v>
      </c>
      <c r="D79" s="271"/>
      <c r="E79" s="271"/>
      <c r="F79" s="271"/>
      <c r="G79" s="271"/>
      <c r="H79" s="271"/>
      <c r="I79" s="271"/>
      <c r="J79" s="271"/>
      <c r="K79" s="271"/>
      <c r="L79" s="271"/>
      <c r="M79" s="271"/>
    </row>
    <row r="80" ht="9" customHeight="1"/>
    <row r="81" spans="13:15" ht="44.25" customHeight="1">
      <c r="M81" s="243"/>
      <c r="O81" s="244"/>
    </row>
    <row r="82" spans="2:15" ht="46.5" customHeight="1">
      <c r="B82" s="275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43"/>
      <c r="O82" s="244"/>
    </row>
    <row r="83" spans="1:13" ht="4.5" customHeight="1">
      <c r="A83" s="239"/>
      <c r="B83" s="272" t="s">
        <v>57</v>
      </c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43"/>
    </row>
    <row r="84" spans="2:13" ht="1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</row>
    <row r="87" spans="14:15" ht="13.5">
      <c r="N87" s="244"/>
      <c r="O87" s="245"/>
    </row>
    <row r="110" ht="13.5">
      <c r="B110" s="234" t="s">
        <v>37</v>
      </c>
    </row>
  </sheetData>
  <sheetProtection/>
  <mergeCells count="5">
    <mergeCell ref="B2:L3"/>
    <mergeCell ref="C79:M79"/>
    <mergeCell ref="B83:L83"/>
    <mergeCell ref="C34:M34"/>
    <mergeCell ref="B82:L82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2017-06-27T22:10:12Z</cp:lastPrinted>
  <dcterms:created xsi:type="dcterms:W3CDTF">1997-07-01T22:48:52Z</dcterms:created>
  <dcterms:modified xsi:type="dcterms:W3CDTF">2018-04-09T20:41:14Z</dcterms:modified>
  <cp:category/>
  <cp:version/>
  <cp:contentType/>
  <cp:contentStatus/>
</cp:coreProperties>
</file>